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ml.chartshapes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pillway Joints\Reports-Papers\Closeout 2024\"/>
    </mc:Choice>
  </mc:AlternateContent>
  <xr:revisionPtr revIDLastSave="0" documentId="13_ncr:1_{497C3EDF-8CD9-45FA-A02F-C6F61E6BE357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NOTES" sheetId="7" r:id="rId1"/>
    <sheet name="Gap Profiles DATA" sheetId="4" r:id="rId2"/>
    <sheet name="delCharts" sheetId="6" r:id="rId3"/>
    <sheet name="Depth profiles" sheetId="5" r:id="rId4"/>
  </sheets>
  <externalReferences>
    <externalReference r:id="rId5"/>
    <externalReference r:id="rId6"/>
  </externalReferences>
  <definedNames>
    <definedName name="_xlnm._FilterDatabase" localSheetId="3" hidden="1">'Depth profiles'!$A$8:$CU$42</definedName>
    <definedName name="floor2">'Gap Profiles DATA'!$H$6</definedName>
    <definedName name="gravity">[1]EM46!$C$2</definedName>
    <definedName name="joint" localSheetId="1">'Gap Profiles DATA'!$H$4</definedName>
    <definedName name="offset" localSheetId="3">'Depth profiles'!$G$6</definedName>
    <definedName name="offset" localSheetId="0">[2]Sheet1!$G$6</definedName>
    <definedName name="offset">'Gap Profiles DATA'!$H$5</definedName>
    <definedName name="solver_adj" localSheetId="3" hidden="1">'Depth profiles'!#REF!</definedName>
    <definedName name="solver_adj" localSheetId="1" hidden="1">'Gap Profiles DATA'!$H$6</definedName>
    <definedName name="solver_cvg" localSheetId="3" hidden="1">0.000001</definedName>
    <definedName name="solver_cvg" localSheetId="1" hidden="1">0.0001</definedName>
    <definedName name="solver_drv" localSheetId="3" hidden="1">1</definedName>
    <definedName name="solver_drv" localSheetId="1" hidden="1">1</definedName>
    <definedName name="solver_eng" localSheetId="3" hidden="1">1</definedName>
    <definedName name="solver_eng" localSheetId="1" hidden="1">1</definedName>
    <definedName name="solver_est" localSheetId="3" hidden="1">1</definedName>
    <definedName name="solver_est" localSheetId="1" hidden="1">1</definedName>
    <definedName name="solver_itr" localSheetId="3" hidden="1">2147483647</definedName>
    <definedName name="solver_itr" localSheetId="1" hidden="1">2147483647</definedName>
    <definedName name="solver_mip" localSheetId="3" hidden="1">2147483647</definedName>
    <definedName name="solver_mip" localSheetId="1" hidden="1">2147483647</definedName>
    <definedName name="solver_mni" localSheetId="3" hidden="1">30</definedName>
    <definedName name="solver_mni" localSheetId="1" hidden="1">30</definedName>
    <definedName name="solver_mrt" localSheetId="3" hidden="1">0.075</definedName>
    <definedName name="solver_mrt" localSheetId="1" hidden="1">0.075</definedName>
    <definedName name="solver_msl" localSheetId="3" hidden="1">2</definedName>
    <definedName name="solver_msl" localSheetId="1" hidden="1">2</definedName>
    <definedName name="solver_neg" localSheetId="3" hidden="1">1</definedName>
    <definedName name="solver_neg" localSheetId="1" hidden="1">1</definedName>
    <definedName name="solver_nod" localSheetId="3" hidden="1">2147483647</definedName>
    <definedName name="solver_nod" localSheetId="1" hidden="1">2147483647</definedName>
    <definedName name="solver_num" localSheetId="3" hidden="1">0</definedName>
    <definedName name="solver_num" localSheetId="1" hidden="1">0</definedName>
    <definedName name="solver_nwt" localSheetId="3" hidden="1">1</definedName>
    <definedName name="solver_nwt" localSheetId="1" hidden="1">1</definedName>
    <definedName name="solver_opt" localSheetId="3" hidden="1">'Depth profiles'!#REF!</definedName>
    <definedName name="solver_opt" localSheetId="1" hidden="1">'Gap Profiles DATA'!#REF!</definedName>
    <definedName name="solver_pre" localSheetId="3" hidden="1">0.00001</definedName>
    <definedName name="solver_pre" localSheetId="1" hidden="1">0.000001</definedName>
    <definedName name="solver_rbv" localSheetId="3" hidden="1">1</definedName>
    <definedName name="solver_rbv" localSheetId="1" hidden="1">1</definedName>
    <definedName name="solver_rlx" localSheetId="3" hidden="1">2</definedName>
    <definedName name="solver_rlx" localSheetId="1" hidden="1">2</definedName>
    <definedName name="solver_rsd" localSheetId="3" hidden="1">0</definedName>
    <definedName name="solver_rsd" localSheetId="1" hidden="1">0</definedName>
    <definedName name="solver_scl" localSheetId="3" hidden="1">1</definedName>
    <definedName name="solver_scl" localSheetId="1" hidden="1">1</definedName>
    <definedName name="solver_sho" localSheetId="3" hidden="1">2</definedName>
    <definedName name="solver_sho" localSheetId="1" hidden="1">2</definedName>
    <definedName name="solver_ssz" localSheetId="3" hidden="1">100</definedName>
    <definedName name="solver_ssz" localSheetId="1" hidden="1">100</definedName>
    <definedName name="solver_tim" localSheetId="3" hidden="1">2147483647</definedName>
    <definedName name="solver_tim" localSheetId="1" hidden="1">2147483647</definedName>
    <definedName name="solver_tol" localSheetId="3" hidden="1">0.01</definedName>
    <definedName name="solver_tol" localSheetId="1" hidden="1">0.01</definedName>
    <definedName name="solver_typ" localSheetId="3" hidden="1">1</definedName>
    <definedName name="solver_typ" localSheetId="1" hidden="1">1</definedName>
    <definedName name="solver_val" localSheetId="3" hidden="1">0</definedName>
    <definedName name="solver_val" localSheetId="1" hidden="1">0</definedName>
    <definedName name="solver_ver" localSheetId="3" hidden="1">3</definedName>
    <definedName name="solver_ver" localSheetId="1" hidden="1">3</definedName>
    <definedName name="theta" localSheetId="3">'Depth profiles'!$J$5</definedName>
    <definedName name="theta" localSheetId="0">[2]Sheet1!$J$5</definedName>
    <definedName name="theta">'Gap Profiles DATA'!$H$8</definedName>
    <definedName name="viscosity" localSheetId="0">[2]Sheet1!$T$3</definedName>
    <definedName name="viscosity">'Depth profiles'!$T$3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6" l="1"/>
  <c r="J3" i="6" s="1"/>
  <c r="J4" i="6"/>
  <c r="D18" i="6"/>
  <c r="D17" i="6"/>
  <c r="C18" i="6"/>
  <c r="C17" i="6"/>
  <c r="D16" i="6"/>
  <c r="C16" i="6"/>
  <c r="D15" i="6"/>
  <c r="C15" i="6"/>
  <c r="F14" i="6"/>
  <c r="D14" i="6"/>
  <c r="C14" i="6"/>
  <c r="I178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I163" i="4"/>
  <c r="I162" i="4"/>
  <c r="I161" i="4"/>
  <c r="I160" i="4"/>
  <c r="I159" i="4"/>
  <c r="I158" i="4"/>
  <c r="I157" i="4"/>
  <c r="I156" i="4"/>
  <c r="I155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M150" i="4"/>
  <c r="M151" i="4" s="1"/>
  <c r="M152" i="4" s="1"/>
  <c r="M153" i="4" s="1"/>
  <c r="M154" i="4" s="1"/>
  <c r="M155" i="4" s="1"/>
  <c r="M156" i="4" s="1"/>
  <c r="M157" i="4" s="1"/>
  <c r="M158" i="4" s="1"/>
  <c r="M159" i="4" s="1"/>
  <c r="M160" i="4" s="1"/>
  <c r="M161" i="4" s="1"/>
  <c r="M162" i="4" s="1"/>
  <c r="M163" i="4" s="1"/>
  <c r="M164" i="4" s="1"/>
  <c r="M165" i="4" s="1"/>
  <c r="M166" i="4" s="1"/>
  <c r="M167" i="4" s="1"/>
  <c r="M168" i="4" s="1"/>
  <c r="M169" i="4" s="1"/>
  <c r="M170" i="4" s="1"/>
  <c r="M171" i="4" s="1"/>
  <c r="M172" i="4" s="1"/>
  <c r="M173" i="4" s="1"/>
  <c r="M174" i="4" s="1"/>
  <c r="M175" i="4" s="1"/>
  <c r="M176" i="4" s="1"/>
  <c r="M177" i="4" s="1"/>
  <c r="M178" i="4" s="1"/>
  <c r="L150" i="4"/>
  <c r="M149" i="4"/>
  <c r="L149" i="4"/>
  <c r="P149" i="4" s="1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K167" i="4"/>
  <c r="H157" i="4"/>
  <c r="H156" i="4"/>
  <c r="H155" i="4"/>
  <c r="H154" i="4"/>
  <c r="H153" i="4"/>
  <c r="H152" i="4"/>
  <c r="H151" i="4"/>
  <c r="H149" i="4"/>
  <c r="H148" i="4"/>
  <c r="H147" i="4"/>
  <c r="H146" i="4"/>
  <c r="H145" i="4"/>
  <c r="H144" i="4"/>
  <c r="I138" i="4"/>
  <c r="J138" i="4" s="1"/>
  <c r="M138" i="4"/>
  <c r="P36" i="5"/>
  <c r="S40" i="5"/>
  <c r="S39" i="5"/>
  <c r="S38" i="5"/>
  <c r="S37" i="5"/>
  <c r="S36" i="5"/>
  <c r="E15" i="6" l="1"/>
  <c r="E18" i="6"/>
  <c r="E14" i="6"/>
  <c r="G14" i="6"/>
  <c r="E17" i="6"/>
  <c r="E16" i="6"/>
  <c r="P150" i="4"/>
  <c r="L151" i="4"/>
  <c r="J167" i="4"/>
  <c r="AS38" i="5"/>
  <c r="X38" i="5"/>
  <c r="X39" i="5" s="1"/>
  <c r="X40" i="5" s="1"/>
  <c r="F38" i="5"/>
  <c r="F39" i="5" s="1"/>
  <c r="F40" i="5" s="1"/>
  <c r="X37" i="5"/>
  <c r="K37" i="5"/>
  <c r="K38" i="5" s="1"/>
  <c r="J37" i="5"/>
  <c r="H37" i="5"/>
  <c r="H38" i="5" s="1"/>
  <c r="H39" i="5" s="1"/>
  <c r="H40" i="5" s="1"/>
  <c r="G37" i="5"/>
  <c r="G38" i="5" s="1"/>
  <c r="G39" i="5" s="1"/>
  <c r="G40" i="5" s="1"/>
  <c r="F37" i="5"/>
  <c r="C37" i="5"/>
  <c r="C38" i="5" s="1"/>
  <c r="C39" i="5" s="1"/>
  <c r="C40" i="5" s="1"/>
  <c r="B37" i="5"/>
  <c r="B38" i="5" s="1"/>
  <c r="B39" i="5" s="1"/>
  <c r="B40" i="5" s="1"/>
  <c r="AZ36" i="5"/>
  <c r="AS36" i="5"/>
  <c r="AS37" i="5" s="1"/>
  <c r="Q36" i="5"/>
  <c r="L36" i="5"/>
  <c r="L37" i="5" s="1"/>
  <c r="L38" i="5" s="1"/>
  <c r="L39" i="5" s="1"/>
  <c r="L40" i="5" s="1"/>
  <c r="I36" i="5"/>
  <c r="H142" i="4"/>
  <c r="H141" i="4"/>
  <c r="H140" i="4"/>
  <c r="H139" i="4"/>
  <c r="H138" i="4"/>
  <c r="J178" i="4"/>
  <c r="J177" i="4"/>
  <c r="J176" i="4"/>
  <c r="J175" i="4"/>
  <c r="J174" i="4"/>
  <c r="J173" i="4"/>
  <c r="J172" i="4"/>
  <c r="J171" i="4"/>
  <c r="J170" i="4"/>
  <c r="J169" i="4"/>
  <c r="J168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M139" i="4"/>
  <c r="M140" i="4" s="1"/>
  <c r="M141" i="4" s="1"/>
  <c r="M142" i="4" s="1"/>
  <c r="M143" i="4" s="1"/>
  <c r="L139" i="4"/>
  <c r="L140" i="4" s="1"/>
  <c r="J139" i="4"/>
  <c r="P37" i="5" a="1"/>
  <c r="L152" i="4" l="1"/>
  <c r="P151" i="4"/>
  <c r="P37" i="5"/>
  <c r="K39" i="5"/>
  <c r="I37" i="5"/>
  <c r="J38" i="5"/>
  <c r="M36" i="5"/>
  <c r="P140" i="4"/>
  <c r="M144" i="4"/>
  <c r="M145" i="4" s="1"/>
  <c r="M146" i="4" s="1"/>
  <c r="M147" i="4" s="1"/>
  <c r="M148" i="4" s="1"/>
  <c r="P139" i="4"/>
  <c r="P138" i="4"/>
  <c r="L141" i="4"/>
  <c r="P38" i="5" a="1"/>
  <c r="L153" i="4" l="1"/>
  <c r="P152" i="4"/>
  <c r="P38" i="5"/>
  <c r="K40" i="5"/>
  <c r="J39" i="5"/>
  <c r="I38" i="5"/>
  <c r="Q37" i="5"/>
  <c r="P141" i="4"/>
  <c r="L142" i="4"/>
  <c r="P39" i="5" a="1"/>
  <c r="P153" i="4" l="1"/>
  <c r="L154" i="4"/>
  <c r="P39" i="5"/>
  <c r="I39" i="5"/>
  <c r="Q38" i="5"/>
  <c r="J40" i="5"/>
  <c r="P142" i="4"/>
  <c r="L143" i="4"/>
  <c r="P40" i="5" a="1"/>
  <c r="L155" i="4" l="1"/>
  <c r="P154" i="4"/>
  <c r="P40" i="5"/>
  <c r="Q40" i="5" s="1"/>
  <c r="I40" i="5"/>
  <c r="Q39" i="5"/>
  <c r="T143" i="4"/>
  <c r="F15" i="6" s="1"/>
  <c r="G15" i="6" s="1"/>
  <c r="L144" i="4"/>
  <c r="P143" i="4"/>
  <c r="R143" i="4"/>
  <c r="P155" i="4" l="1"/>
  <c r="L156" i="4"/>
  <c r="P144" i="4"/>
  <c r="L145" i="4"/>
  <c r="L157" i="4" l="1"/>
  <c r="P156" i="4"/>
  <c r="L146" i="4"/>
  <c r="P145" i="4"/>
  <c r="P157" i="4" l="1"/>
  <c r="L158" i="4"/>
  <c r="L147" i="4"/>
  <c r="P146" i="4"/>
  <c r="L159" i="4" l="1"/>
  <c r="P158" i="4"/>
  <c r="L148" i="4"/>
  <c r="P147" i="4"/>
  <c r="L160" i="4" l="1"/>
  <c r="P159" i="4"/>
  <c r="P148" i="4"/>
  <c r="L161" i="4" l="1"/>
  <c r="P160" i="4"/>
  <c r="P161" i="4" l="1"/>
  <c r="L162" i="4"/>
  <c r="L163" i="4" l="1"/>
  <c r="P162" i="4"/>
  <c r="P163" i="4" l="1"/>
  <c r="L164" i="4"/>
  <c r="T150" i="4"/>
  <c r="F16" i="6" s="1"/>
  <c r="G16" i="6" s="1"/>
  <c r="R150" i="4"/>
  <c r="T158" i="4"/>
  <c r="F17" i="6" s="1"/>
  <c r="G17" i="6" s="1"/>
  <c r="R158" i="4"/>
  <c r="L165" i="4" l="1"/>
  <c r="P164" i="4"/>
  <c r="P165" i="4" l="1"/>
  <c r="L166" i="4"/>
  <c r="L167" i="4" l="1"/>
  <c r="P166" i="4"/>
  <c r="N167" i="4" l="1"/>
  <c r="O167" i="4" s="1"/>
  <c r="Q167" i="4" s="1"/>
  <c r="P167" i="4"/>
  <c r="L168" i="4"/>
  <c r="I105" i="4"/>
  <c r="J105" i="4" s="1"/>
  <c r="I104" i="4"/>
  <c r="J104" i="4" s="1"/>
  <c r="I103" i="4"/>
  <c r="J103" i="4" s="1"/>
  <c r="I102" i="4"/>
  <c r="J102" i="4" s="1"/>
  <c r="I101" i="4"/>
  <c r="J101" i="4" s="1"/>
  <c r="I100" i="4"/>
  <c r="J100" i="4" s="1"/>
  <c r="I99" i="4"/>
  <c r="J99" i="4" s="1"/>
  <c r="I98" i="4"/>
  <c r="J98" i="4" s="1"/>
  <c r="I97" i="4"/>
  <c r="J97" i="4" s="1"/>
  <c r="I96" i="4"/>
  <c r="J96" i="4" s="1"/>
  <c r="I95" i="4"/>
  <c r="J95" i="4" s="1"/>
  <c r="I94" i="4"/>
  <c r="J94" i="4" s="1"/>
  <c r="H103" i="4"/>
  <c r="H105" i="4"/>
  <c r="H104" i="4"/>
  <c r="H102" i="4"/>
  <c r="H101" i="4"/>
  <c r="H98" i="4"/>
  <c r="H97" i="4"/>
  <c r="H96" i="4"/>
  <c r="H95" i="4"/>
  <c r="M94" i="4"/>
  <c r="P31" i="5"/>
  <c r="M31" i="5" s="1"/>
  <c r="S35" i="5"/>
  <c r="S34" i="5"/>
  <c r="S33" i="5"/>
  <c r="S32" i="5"/>
  <c r="X32" i="5"/>
  <c r="K32" i="5"/>
  <c r="K33" i="5" s="1"/>
  <c r="J32" i="5"/>
  <c r="H32" i="5"/>
  <c r="H33" i="5" s="1"/>
  <c r="H34" i="5" s="1"/>
  <c r="H35" i="5" s="1"/>
  <c r="G32" i="5"/>
  <c r="G33" i="5" s="1"/>
  <c r="G34" i="5" s="1"/>
  <c r="G35" i="5" s="1"/>
  <c r="F32" i="5"/>
  <c r="F33" i="5" s="1"/>
  <c r="F34" i="5" s="1"/>
  <c r="F35" i="5" s="1"/>
  <c r="C32" i="5"/>
  <c r="C33" i="5" s="1"/>
  <c r="C34" i="5" s="1"/>
  <c r="C35" i="5" s="1"/>
  <c r="B32" i="5"/>
  <c r="B33" i="5" s="1"/>
  <c r="B34" i="5" s="1"/>
  <c r="B35" i="5" s="1"/>
  <c r="AZ31" i="5"/>
  <c r="AS31" i="5"/>
  <c r="AS32" i="5" s="1"/>
  <c r="L31" i="5"/>
  <c r="L32" i="5" s="1"/>
  <c r="L33" i="5" s="1"/>
  <c r="L34" i="5" s="1"/>
  <c r="L35" i="5" s="1"/>
  <c r="I31" i="5"/>
  <c r="P32" i="5" a="1"/>
  <c r="L169" i="4" l="1"/>
  <c r="P168" i="4"/>
  <c r="AS33" i="5"/>
  <c r="Q31" i="5"/>
  <c r="K34" i="5"/>
  <c r="K35" i="5" s="1"/>
  <c r="P32" i="5"/>
  <c r="I32" i="5"/>
  <c r="X33" i="5"/>
  <c r="J33" i="5"/>
  <c r="L95" i="4"/>
  <c r="D95" i="4"/>
  <c r="D96" i="4" s="1"/>
  <c r="D97" i="4" s="1"/>
  <c r="D98" i="4" s="1"/>
  <c r="D99" i="4" s="1"/>
  <c r="D100" i="4" s="1"/>
  <c r="D101" i="4" s="1"/>
  <c r="D102" i="4" s="1"/>
  <c r="D103" i="4" s="1"/>
  <c r="D104" i="4" s="1"/>
  <c r="D105" i="4" s="1"/>
  <c r="C95" i="4"/>
  <c r="C96" i="4" s="1"/>
  <c r="C97" i="4" s="1"/>
  <c r="C98" i="4" s="1"/>
  <c r="C99" i="4" s="1"/>
  <c r="C100" i="4" s="1"/>
  <c r="C101" i="4" s="1"/>
  <c r="C102" i="4" s="1"/>
  <c r="C103" i="4" s="1"/>
  <c r="C104" i="4" s="1"/>
  <c r="C105" i="4" s="1"/>
  <c r="M95" i="4"/>
  <c r="M96" i="4" s="1"/>
  <c r="M97" i="4" s="1"/>
  <c r="M98" i="4" s="1"/>
  <c r="M99" i="4" s="1"/>
  <c r="M100" i="4" s="1"/>
  <c r="M101" i="4" s="1"/>
  <c r="M102" i="4" s="1"/>
  <c r="M103" i="4" s="1"/>
  <c r="M104" i="4" s="1"/>
  <c r="M105" i="4" s="1"/>
  <c r="P94" i="4"/>
  <c r="C7" i="6"/>
  <c r="C6" i="6"/>
  <c r="C13" i="6"/>
  <c r="C10" i="6"/>
  <c r="C12" i="6"/>
  <c r="C11" i="6"/>
  <c r="C9" i="6"/>
  <c r="C3" i="6"/>
  <c r="C4" i="6"/>
  <c r="C5" i="6"/>
  <c r="C8" i="6"/>
  <c r="S80" i="4"/>
  <c r="I93" i="4"/>
  <c r="J93" i="4" s="1"/>
  <c r="I92" i="4"/>
  <c r="J92" i="4" s="1"/>
  <c r="I91" i="4"/>
  <c r="J91" i="4" s="1"/>
  <c r="I90" i="4"/>
  <c r="J90" i="4" s="1"/>
  <c r="I89" i="4"/>
  <c r="J89" i="4" s="1"/>
  <c r="I88" i="4"/>
  <c r="J88" i="4" s="1"/>
  <c r="I87" i="4"/>
  <c r="J87" i="4" s="1"/>
  <c r="I86" i="4"/>
  <c r="J86" i="4" s="1"/>
  <c r="I85" i="4"/>
  <c r="J85" i="4" s="1"/>
  <c r="I84" i="4"/>
  <c r="J84" i="4" s="1"/>
  <c r="I83" i="4"/>
  <c r="J83" i="4" s="1"/>
  <c r="I82" i="4"/>
  <c r="J82" i="4" s="1"/>
  <c r="I81" i="4"/>
  <c r="J81" i="4" s="1"/>
  <c r="I80" i="4"/>
  <c r="J80" i="4" s="1"/>
  <c r="I79" i="4"/>
  <c r="J79" i="4" s="1"/>
  <c r="I78" i="4"/>
  <c r="J78" i="4" s="1"/>
  <c r="I77" i="4"/>
  <c r="J77" i="4" s="1"/>
  <c r="I76" i="4"/>
  <c r="J76" i="4" s="1"/>
  <c r="I75" i="4"/>
  <c r="J75" i="4" s="1"/>
  <c r="I74" i="4"/>
  <c r="J74" i="4" s="1"/>
  <c r="I73" i="4"/>
  <c r="J73" i="4" s="1"/>
  <c r="I72" i="4"/>
  <c r="J72" i="4" s="1"/>
  <c r="I71" i="4"/>
  <c r="J71" i="4" s="1"/>
  <c r="I70" i="4"/>
  <c r="J70" i="4" s="1"/>
  <c r="I69" i="4"/>
  <c r="J69" i="4" s="1"/>
  <c r="I68" i="4"/>
  <c r="J68" i="4" s="1"/>
  <c r="I67" i="4"/>
  <c r="J67" i="4" s="1"/>
  <c r="I66" i="4"/>
  <c r="J66" i="4" s="1"/>
  <c r="I65" i="4"/>
  <c r="J65" i="4" s="1"/>
  <c r="I64" i="4"/>
  <c r="J64" i="4" s="1"/>
  <c r="I63" i="4"/>
  <c r="J63" i="4" s="1"/>
  <c r="I62" i="4"/>
  <c r="J62" i="4" s="1"/>
  <c r="I61" i="4"/>
  <c r="J61" i="4" s="1"/>
  <c r="I60" i="4"/>
  <c r="J60" i="4" s="1"/>
  <c r="I59" i="4"/>
  <c r="J59" i="4" s="1"/>
  <c r="I58" i="4"/>
  <c r="J58" i="4" s="1"/>
  <c r="I57" i="4"/>
  <c r="J57" i="4" s="1"/>
  <c r="I56" i="4"/>
  <c r="J56" i="4" s="1"/>
  <c r="I55" i="4"/>
  <c r="J55" i="4" s="1"/>
  <c r="I54" i="4"/>
  <c r="J54" i="4" s="1"/>
  <c r="I53" i="4"/>
  <c r="J53" i="4" s="1"/>
  <c r="I52" i="4"/>
  <c r="J52" i="4" s="1"/>
  <c r="I51" i="4"/>
  <c r="J51" i="4" s="1"/>
  <c r="I50" i="4"/>
  <c r="J50" i="4" s="1"/>
  <c r="I49" i="4"/>
  <c r="J49" i="4" s="1"/>
  <c r="I48" i="4"/>
  <c r="J48" i="4" s="1"/>
  <c r="I47" i="4"/>
  <c r="J47" i="4" s="1"/>
  <c r="I39" i="4"/>
  <c r="J39" i="4" s="1"/>
  <c r="I38" i="4"/>
  <c r="J38" i="4" s="1"/>
  <c r="I37" i="4"/>
  <c r="J37" i="4" s="1"/>
  <c r="I36" i="4"/>
  <c r="J36" i="4" s="1"/>
  <c r="I35" i="4"/>
  <c r="J35" i="4" s="1"/>
  <c r="I34" i="4"/>
  <c r="J34" i="4" s="1"/>
  <c r="I33" i="4"/>
  <c r="J33" i="4" s="1"/>
  <c r="I32" i="4"/>
  <c r="J32" i="4" s="1"/>
  <c r="I31" i="4"/>
  <c r="J31" i="4" s="1"/>
  <c r="I30" i="4"/>
  <c r="J30" i="4" s="1"/>
  <c r="I29" i="4"/>
  <c r="J29" i="4" s="1"/>
  <c r="I28" i="4"/>
  <c r="J28" i="4" s="1"/>
  <c r="I27" i="4"/>
  <c r="J27" i="4" s="1"/>
  <c r="I26" i="4"/>
  <c r="J26" i="4" s="1"/>
  <c r="I25" i="4"/>
  <c r="J25" i="4" s="1"/>
  <c r="I24" i="4"/>
  <c r="J24" i="4" s="1"/>
  <c r="I23" i="4"/>
  <c r="J23" i="4" s="1"/>
  <c r="I22" i="4"/>
  <c r="J22" i="4" s="1"/>
  <c r="I21" i="4"/>
  <c r="J21" i="4" s="1"/>
  <c r="I20" i="4"/>
  <c r="J20" i="4" s="1"/>
  <c r="I19" i="4"/>
  <c r="J19" i="4" s="1"/>
  <c r="I18" i="4"/>
  <c r="J18" i="4" s="1"/>
  <c r="I17" i="4"/>
  <c r="J17" i="4" s="1"/>
  <c r="I16" i="4"/>
  <c r="J16" i="4" s="1"/>
  <c r="I15" i="4"/>
  <c r="J15" i="4" s="1"/>
  <c r="I14" i="4"/>
  <c r="J14" i="4" s="1"/>
  <c r="I13" i="4"/>
  <c r="J13" i="4" s="1"/>
  <c r="I12" i="4"/>
  <c r="J12" i="4" s="1"/>
  <c r="I11" i="4"/>
  <c r="J11" i="4" s="1"/>
  <c r="I10" i="4"/>
  <c r="J10" i="4" s="1"/>
  <c r="H93" i="4"/>
  <c r="H92" i="4"/>
  <c r="H91" i="4"/>
  <c r="H90" i="4"/>
  <c r="H87" i="4"/>
  <c r="H86" i="4"/>
  <c r="H85" i="4"/>
  <c r="H82" i="4"/>
  <c r="H81" i="4"/>
  <c r="H80" i="4"/>
  <c r="P33" i="5" a="1"/>
  <c r="L170" i="4" l="1"/>
  <c r="P169" i="4"/>
  <c r="R169" i="4"/>
  <c r="T169" i="4"/>
  <c r="F18" i="6" s="1"/>
  <c r="G18" i="6" s="1"/>
  <c r="P33" i="5"/>
  <c r="J34" i="5"/>
  <c r="X34" i="5"/>
  <c r="I33" i="5"/>
  <c r="Q32" i="5"/>
  <c r="L96" i="4"/>
  <c r="L97" i="4" s="1"/>
  <c r="P95" i="4"/>
  <c r="P34" i="5" a="1"/>
  <c r="L171" i="4" l="1"/>
  <c r="P170" i="4"/>
  <c r="P34" i="5"/>
  <c r="Q33" i="5"/>
  <c r="I34" i="5"/>
  <c r="X35" i="5"/>
  <c r="J35" i="5"/>
  <c r="P96" i="4"/>
  <c r="L98" i="4"/>
  <c r="L99" i="4" s="1"/>
  <c r="P97" i="4"/>
  <c r="P35" i="5" a="1"/>
  <c r="P171" i="4" l="1"/>
  <c r="L172" i="4"/>
  <c r="L100" i="4"/>
  <c r="P99" i="4"/>
  <c r="P35" i="5"/>
  <c r="Q35" i="5" s="1"/>
  <c r="Q34" i="5"/>
  <c r="I35" i="5"/>
  <c r="P98" i="4"/>
  <c r="L173" i="4" l="1"/>
  <c r="P172" i="4"/>
  <c r="L101" i="4"/>
  <c r="P100" i="4"/>
  <c r="L76" i="4"/>
  <c r="L77" i="4" s="1"/>
  <c r="L78" i="4" s="1"/>
  <c r="L79" i="4" s="1"/>
  <c r="L80" i="4" s="1"/>
  <c r="L81" i="4" s="1"/>
  <c r="L82" i="4" s="1"/>
  <c r="L83" i="4" s="1"/>
  <c r="H79" i="4"/>
  <c r="H78" i="4"/>
  <c r="H77" i="4"/>
  <c r="H76" i="4"/>
  <c r="D76" i="4"/>
  <c r="D77" i="4" s="1"/>
  <c r="D78" i="4" s="1"/>
  <c r="D79" i="4" s="1"/>
  <c r="D80" i="4" s="1"/>
  <c r="D81" i="4" s="1"/>
  <c r="D82" i="4" s="1"/>
  <c r="D83" i="4" s="1"/>
  <c r="D84" i="4" s="1"/>
  <c r="D85" i="4" s="1"/>
  <c r="D86" i="4" s="1"/>
  <c r="D87" i="4" s="1"/>
  <c r="D88" i="4" s="1"/>
  <c r="D89" i="4" s="1"/>
  <c r="D90" i="4" s="1"/>
  <c r="D91" i="4" s="1"/>
  <c r="D92" i="4" s="1"/>
  <c r="D93" i="4" s="1"/>
  <c r="C76" i="4"/>
  <c r="C77" i="4" s="1"/>
  <c r="C78" i="4" s="1"/>
  <c r="C79" i="4" s="1"/>
  <c r="C80" i="4" s="1"/>
  <c r="C81" i="4" s="1"/>
  <c r="C82" i="4" s="1"/>
  <c r="C83" i="4" s="1"/>
  <c r="C84" i="4" s="1"/>
  <c r="C85" i="4" s="1"/>
  <c r="C86" i="4" s="1"/>
  <c r="C87" i="4" s="1"/>
  <c r="C88" i="4" s="1"/>
  <c r="C89" i="4" s="1"/>
  <c r="C90" i="4" s="1"/>
  <c r="C91" i="4" s="1"/>
  <c r="C92" i="4" s="1"/>
  <c r="C93" i="4" s="1"/>
  <c r="M75" i="4"/>
  <c r="M76" i="4" s="1"/>
  <c r="M77" i="4" s="1"/>
  <c r="M78" i="4" s="1"/>
  <c r="M79" i="4" s="1"/>
  <c r="M80" i="4" s="1"/>
  <c r="M81" i="4" s="1"/>
  <c r="M82" i="4" s="1"/>
  <c r="M83" i="4" s="1"/>
  <c r="P26" i="5"/>
  <c r="M26" i="5" s="1"/>
  <c r="S30" i="5"/>
  <c r="S29" i="5"/>
  <c r="S28" i="5"/>
  <c r="S27" i="5"/>
  <c r="H26" i="5"/>
  <c r="H27" i="5" s="1"/>
  <c r="H28" i="5" s="1"/>
  <c r="H29" i="5" s="1"/>
  <c r="H30" i="5" s="1"/>
  <c r="AS28" i="5"/>
  <c r="X27" i="5"/>
  <c r="X28" i="5" s="1"/>
  <c r="X29" i="5" s="1"/>
  <c r="X30" i="5" s="1"/>
  <c r="K27" i="5"/>
  <c r="K28" i="5" s="1"/>
  <c r="J27" i="5"/>
  <c r="G27" i="5"/>
  <c r="G28" i="5" s="1"/>
  <c r="G29" i="5" s="1"/>
  <c r="G30" i="5" s="1"/>
  <c r="F27" i="5"/>
  <c r="F28" i="5" s="1"/>
  <c r="F29" i="5" s="1"/>
  <c r="F30" i="5" s="1"/>
  <c r="C27" i="5"/>
  <c r="C28" i="5" s="1"/>
  <c r="C29" i="5" s="1"/>
  <c r="C30" i="5" s="1"/>
  <c r="B27" i="5"/>
  <c r="B28" i="5" s="1"/>
  <c r="B29" i="5" s="1"/>
  <c r="B30" i="5" s="1"/>
  <c r="AZ26" i="5"/>
  <c r="AS26" i="5"/>
  <c r="AS27" i="5" s="1"/>
  <c r="L26" i="5"/>
  <c r="L27" i="5" s="1"/>
  <c r="L28" i="5" s="1"/>
  <c r="L29" i="5" s="1"/>
  <c r="L30" i="5" s="1"/>
  <c r="M47" i="4"/>
  <c r="H127" i="4"/>
  <c r="H126" i="4"/>
  <c r="H125" i="4"/>
  <c r="H124" i="4"/>
  <c r="H123" i="4"/>
  <c r="P27" i="5" a="1"/>
  <c r="P173" i="4" l="1"/>
  <c r="L174" i="4"/>
  <c r="D8" i="6"/>
  <c r="E8" i="6" s="1"/>
  <c r="L102" i="4"/>
  <c r="L103" i="4" s="1"/>
  <c r="P101" i="4"/>
  <c r="T99" i="4"/>
  <c r="R99" i="4"/>
  <c r="L84" i="4"/>
  <c r="L85" i="4" s="1"/>
  <c r="L86" i="4" s="1"/>
  <c r="L87" i="4" s="1"/>
  <c r="L88" i="4" s="1"/>
  <c r="T83" i="4"/>
  <c r="F8" i="6" s="1"/>
  <c r="G8" i="6" s="1"/>
  <c r="M84" i="4"/>
  <c r="M85" i="4" s="1"/>
  <c r="M86" i="4" s="1"/>
  <c r="M87" i="4" s="1"/>
  <c r="M88" i="4" s="1"/>
  <c r="R83" i="4"/>
  <c r="T80" i="4"/>
  <c r="R80" i="4"/>
  <c r="Q26" i="5"/>
  <c r="I26" i="5"/>
  <c r="I27" i="5" s="1"/>
  <c r="P27" i="5"/>
  <c r="K29" i="5"/>
  <c r="J28" i="5"/>
  <c r="H122" i="4"/>
  <c r="H121" i="4"/>
  <c r="H120" i="4"/>
  <c r="I127" i="4"/>
  <c r="J127" i="4" s="1"/>
  <c r="I126" i="4"/>
  <c r="J126" i="4" s="1"/>
  <c r="I125" i="4"/>
  <c r="J125" i="4" s="1"/>
  <c r="I124" i="4"/>
  <c r="J124" i="4" s="1"/>
  <c r="I123" i="4"/>
  <c r="J123" i="4" s="1"/>
  <c r="I122" i="4"/>
  <c r="J122" i="4" s="1"/>
  <c r="I121" i="4"/>
  <c r="J121" i="4" s="1"/>
  <c r="I120" i="4"/>
  <c r="J120" i="4" s="1"/>
  <c r="H16" i="5"/>
  <c r="I16" i="5" s="1"/>
  <c r="I137" i="4"/>
  <c r="J137" i="4" s="1"/>
  <c r="I136" i="4"/>
  <c r="J136" i="4" s="1"/>
  <c r="I135" i="4"/>
  <c r="J135" i="4" s="1"/>
  <c r="I134" i="4"/>
  <c r="J134" i="4" s="1"/>
  <c r="I133" i="4"/>
  <c r="J133" i="4" s="1"/>
  <c r="I132" i="4"/>
  <c r="J132" i="4" s="1"/>
  <c r="I131" i="4"/>
  <c r="J131" i="4" s="1"/>
  <c r="I130" i="4"/>
  <c r="J130" i="4" s="1"/>
  <c r="I129" i="4"/>
  <c r="J129" i="4" s="1"/>
  <c r="I128" i="4"/>
  <c r="J128" i="4" s="1"/>
  <c r="I119" i="4"/>
  <c r="J119" i="4" s="1"/>
  <c r="I118" i="4"/>
  <c r="J118" i="4" s="1"/>
  <c r="I117" i="4"/>
  <c r="J117" i="4" s="1"/>
  <c r="I116" i="4"/>
  <c r="J116" i="4" s="1"/>
  <c r="I115" i="4"/>
  <c r="J115" i="4" s="1"/>
  <c r="I114" i="4"/>
  <c r="J114" i="4" s="1"/>
  <c r="I113" i="4"/>
  <c r="J113" i="4" s="1"/>
  <c r="I112" i="4"/>
  <c r="J112" i="4" s="1"/>
  <c r="I111" i="4"/>
  <c r="J111" i="4" s="1"/>
  <c r="M106" i="4"/>
  <c r="M107" i="4" s="1"/>
  <c r="M108" i="4" s="1"/>
  <c r="M109" i="4" s="1"/>
  <c r="M110" i="4" s="1"/>
  <c r="M111" i="4" s="1"/>
  <c r="M112" i="4" s="1"/>
  <c r="M113" i="4" s="1"/>
  <c r="M114" i="4" s="1"/>
  <c r="M115" i="4" s="1"/>
  <c r="M116" i="4" s="1"/>
  <c r="M117" i="4" s="1"/>
  <c r="M118" i="4" s="1"/>
  <c r="M119" i="4" s="1"/>
  <c r="M128" i="4" s="1"/>
  <c r="H137" i="4"/>
  <c r="H136" i="4"/>
  <c r="H135" i="4"/>
  <c r="H134" i="4"/>
  <c r="H133" i="4"/>
  <c r="H132" i="4"/>
  <c r="H131" i="4"/>
  <c r="H130" i="4"/>
  <c r="H129" i="4"/>
  <c r="H128" i="4"/>
  <c r="H119" i="4"/>
  <c r="H118" i="4"/>
  <c r="H117" i="4"/>
  <c r="H116" i="4"/>
  <c r="H115" i="4"/>
  <c r="H114" i="4"/>
  <c r="H113" i="4"/>
  <c r="H112" i="4"/>
  <c r="H111" i="4"/>
  <c r="I110" i="4"/>
  <c r="J110" i="4" s="1"/>
  <c r="I109" i="4"/>
  <c r="J109" i="4" s="1"/>
  <c r="I108" i="4"/>
  <c r="J108" i="4" s="1"/>
  <c r="I107" i="4"/>
  <c r="J107" i="4" s="1"/>
  <c r="I106" i="4"/>
  <c r="J106" i="4" s="1"/>
  <c r="L107" i="4"/>
  <c r="L108" i="4" s="1"/>
  <c r="L109" i="4" s="1"/>
  <c r="L110" i="4" s="1"/>
  <c r="L111" i="4" s="1"/>
  <c r="H110" i="4"/>
  <c r="H109" i="4"/>
  <c r="H108" i="4"/>
  <c r="H107" i="4"/>
  <c r="H106" i="4"/>
  <c r="P21" i="5"/>
  <c r="Q21" i="5" s="1"/>
  <c r="S25" i="5"/>
  <c r="S24" i="5"/>
  <c r="S23" i="5"/>
  <c r="S22" i="5"/>
  <c r="S21" i="5"/>
  <c r="I21" i="5"/>
  <c r="I22" i="5" s="1"/>
  <c r="X22" i="5"/>
  <c r="X23" i="5" s="1"/>
  <c r="X24" i="5" s="1"/>
  <c r="X25" i="5" s="1"/>
  <c r="K22" i="5"/>
  <c r="J22" i="5"/>
  <c r="H22" i="5"/>
  <c r="H23" i="5" s="1"/>
  <c r="H24" i="5" s="1"/>
  <c r="H25" i="5" s="1"/>
  <c r="G22" i="5"/>
  <c r="G23" i="5" s="1"/>
  <c r="G24" i="5" s="1"/>
  <c r="G25" i="5" s="1"/>
  <c r="F22" i="5"/>
  <c r="F23" i="5" s="1"/>
  <c r="F24" i="5" s="1"/>
  <c r="F25" i="5" s="1"/>
  <c r="C22" i="5"/>
  <c r="C23" i="5" s="1"/>
  <c r="C24" i="5" s="1"/>
  <c r="C25" i="5" s="1"/>
  <c r="B22" i="5"/>
  <c r="B23" i="5" s="1"/>
  <c r="B24" i="5" s="1"/>
  <c r="B25" i="5" s="1"/>
  <c r="AZ21" i="5"/>
  <c r="AS21" i="5"/>
  <c r="AS23" i="5" s="1"/>
  <c r="L21" i="5"/>
  <c r="L22" i="5" s="1"/>
  <c r="L23" i="5" s="1"/>
  <c r="L24" i="5" s="1"/>
  <c r="L25" i="5" s="1"/>
  <c r="M48" i="4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P16" i="5"/>
  <c r="Q16" i="5"/>
  <c r="H74" i="4"/>
  <c r="H73" i="4"/>
  <c r="H72" i="4"/>
  <c r="H71" i="4"/>
  <c r="H70" i="4"/>
  <c r="H69" i="4"/>
  <c r="H68" i="4"/>
  <c r="H65" i="4"/>
  <c r="H64" i="4"/>
  <c r="H63" i="4"/>
  <c r="H62" i="4"/>
  <c r="H61" i="4"/>
  <c r="H58" i="4"/>
  <c r="H57" i="4"/>
  <c r="H56" i="4"/>
  <c r="H55" i="4"/>
  <c r="H54" i="4"/>
  <c r="S20" i="5"/>
  <c r="S19" i="5"/>
  <c r="S18" i="5"/>
  <c r="S17" i="5"/>
  <c r="X17" i="5"/>
  <c r="X18" i="5" s="1"/>
  <c r="X19" i="5" s="1"/>
  <c r="X20" i="5" s="1"/>
  <c r="K17" i="5"/>
  <c r="K18" i="5" s="1"/>
  <c r="J17" i="5"/>
  <c r="G17" i="5"/>
  <c r="G18" i="5" s="1"/>
  <c r="G19" i="5" s="1"/>
  <c r="G20" i="5" s="1"/>
  <c r="F17" i="5"/>
  <c r="F18" i="5" s="1"/>
  <c r="F19" i="5" s="1"/>
  <c r="F20" i="5" s="1"/>
  <c r="C17" i="5"/>
  <c r="C18" i="5" s="1"/>
  <c r="C19" i="5" s="1"/>
  <c r="C20" i="5" s="1"/>
  <c r="B17" i="5"/>
  <c r="B18" i="5" s="1"/>
  <c r="B19" i="5" s="1"/>
  <c r="B20" i="5" s="1"/>
  <c r="AZ16" i="5"/>
  <c r="AS16" i="5"/>
  <c r="AS18" i="5" s="1"/>
  <c r="L16" i="5"/>
  <c r="L17" i="5" s="1"/>
  <c r="L18" i="5" s="1"/>
  <c r="L19" i="5" s="1"/>
  <c r="L20" i="5" s="1"/>
  <c r="L48" i="4"/>
  <c r="L49" i="4" s="1"/>
  <c r="L50" i="4" s="1"/>
  <c r="H51" i="4"/>
  <c r="H50" i="4"/>
  <c r="H49" i="4"/>
  <c r="H48" i="4"/>
  <c r="T40" i="4"/>
  <c r="T33" i="4"/>
  <c r="F12" i="6" s="1"/>
  <c r="G12" i="6" s="1"/>
  <c r="T26" i="4"/>
  <c r="F11" i="6" s="1"/>
  <c r="G11" i="6" s="1"/>
  <c r="T16" i="4"/>
  <c r="F3" i="6" s="1"/>
  <c r="G3" i="6" s="1"/>
  <c r="M40" i="4"/>
  <c r="M33" i="4"/>
  <c r="M26" i="4"/>
  <c r="M16" i="4"/>
  <c r="M10" i="4"/>
  <c r="M11" i="4" s="1"/>
  <c r="M12" i="4" s="1"/>
  <c r="M13" i="4" s="1"/>
  <c r="M14" i="4" s="1"/>
  <c r="M15" i="4" s="1"/>
  <c r="G46" i="4"/>
  <c r="I46" i="4" s="1"/>
  <c r="J46" i="4" s="1"/>
  <c r="G45" i="4"/>
  <c r="I45" i="4" s="1"/>
  <c r="J45" i="4" s="1"/>
  <c r="G44" i="4"/>
  <c r="I44" i="4" s="1"/>
  <c r="J44" i="4" s="1"/>
  <c r="G43" i="4"/>
  <c r="I43" i="4" s="1"/>
  <c r="J43" i="4" s="1"/>
  <c r="G42" i="4"/>
  <c r="I42" i="4" s="1"/>
  <c r="J42" i="4" s="1"/>
  <c r="G41" i="4"/>
  <c r="I41" i="4" s="1"/>
  <c r="J41" i="4" s="1"/>
  <c r="G40" i="4"/>
  <c r="I40" i="4" s="1"/>
  <c r="J40" i="4" s="1"/>
  <c r="H48" i="5"/>
  <c r="S15" i="5"/>
  <c r="S14" i="5"/>
  <c r="S13" i="5"/>
  <c r="S12" i="5"/>
  <c r="X11" i="5"/>
  <c r="X12" i="5" s="1"/>
  <c r="X13" i="5" s="1"/>
  <c r="X14" i="5" s="1"/>
  <c r="X15" i="5" s="1"/>
  <c r="S11" i="5"/>
  <c r="K11" i="5"/>
  <c r="K12" i="5" s="1"/>
  <c r="K13" i="5" s="1"/>
  <c r="J11" i="5"/>
  <c r="J12" i="5" s="1"/>
  <c r="H11" i="5"/>
  <c r="H12" i="5" s="1"/>
  <c r="H13" i="5" s="1"/>
  <c r="H14" i="5" s="1"/>
  <c r="H15" i="5" s="1"/>
  <c r="G11" i="5"/>
  <c r="G12" i="5" s="1"/>
  <c r="G13" i="5" s="1"/>
  <c r="G14" i="5" s="1"/>
  <c r="G15" i="5" s="1"/>
  <c r="F11" i="5"/>
  <c r="F12" i="5" s="1"/>
  <c r="F13" i="5" s="1"/>
  <c r="F14" i="5" s="1"/>
  <c r="F15" i="5" s="1"/>
  <c r="C11" i="5"/>
  <c r="C12" i="5" s="1"/>
  <c r="C13" i="5" s="1"/>
  <c r="C14" i="5" s="1"/>
  <c r="C15" i="5" s="1"/>
  <c r="B11" i="5"/>
  <c r="B12" i="5" s="1"/>
  <c r="B13" i="5" s="1"/>
  <c r="B14" i="5" s="1"/>
  <c r="B15" i="5" s="1"/>
  <c r="AZ10" i="5"/>
  <c r="AS10" i="5"/>
  <c r="AS12" i="5" s="1"/>
  <c r="P10" i="5"/>
  <c r="Q10" i="5" s="1"/>
  <c r="L10" i="5"/>
  <c r="L11" i="5" s="1"/>
  <c r="L12" i="5" s="1"/>
  <c r="L13" i="5" s="1"/>
  <c r="L14" i="5" s="1"/>
  <c r="L15" i="5" s="1"/>
  <c r="I10" i="5"/>
  <c r="I11" i="5" s="1"/>
  <c r="I12" i="5" s="1"/>
  <c r="BQ7" i="5"/>
  <c r="CW5" i="5"/>
  <c r="CE5" i="5"/>
  <c r="CC5" i="5"/>
  <c r="BH5" i="5"/>
  <c r="J5" i="5"/>
  <c r="CE3" i="5"/>
  <c r="BR3" i="5"/>
  <c r="AT3" i="5"/>
  <c r="AD2" i="5"/>
  <c r="L11" i="4"/>
  <c r="L12" i="4" s="1"/>
  <c r="L13" i="4" s="1"/>
  <c r="L14" i="4" s="1"/>
  <c r="L15" i="4" s="1"/>
  <c r="L17" i="4" s="1"/>
  <c r="L18" i="4" s="1"/>
  <c r="L19" i="4" s="1"/>
  <c r="L20" i="4" s="1"/>
  <c r="L21" i="4" s="1"/>
  <c r="L22" i="4" s="1"/>
  <c r="L23" i="4" s="1"/>
  <c r="L24" i="4" s="1"/>
  <c r="L25" i="4" s="1"/>
  <c r="L27" i="4" s="1"/>
  <c r="L28" i="4" s="1"/>
  <c r="L29" i="4" s="1"/>
  <c r="L30" i="4" s="1"/>
  <c r="L31" i="4" s="1"/>
  <c r="L32" i="4" s="1"/>
  <c r="L34" i="4" s="1"/>
  <c r="L35" i="4" s="1"/>
  <c r="L36" i="4" s="1"/>
  <c r="L37" i="4" s="1"/>
  <c r="L38" i="4" s="1"/>
  <c r="L39" i="4" s="1"/>
  <c r="L41" i="4" s="1"/>
  <c r="L42" i="4" s="1"/>
  <c r="L43" i="4" s="1"/>
  <c r="L44" i="4" s="1"/>
  <c r="L45" i="4" s="1"/>
  <c r="L46" i="4" s="1"/>
  <c r="H15" i="4"/>
  <c r="F41" i="4"/>
  <c r="F42" i="4" s="1"/>
  <c r="F34" i="4"/>
  <c r="F35" i="4" s="1"/>
  <c r="F36" i="4" s="1"/>
  <c r="F37" i="4" s="1"/>
  <c r="F38" i="4" s="1"/>
  <c r="F27" i="4"/>
  <c r="F28" i="4" s="1"/>
  <c r="F29" i="4" s="1"/>
  <c r="F30" i="4" s="1"/>
  <c r="F31" i="4" s="1"/>
  <c r="F32" i="4" s="1"/>
  <c r="F17" i="4"/>
  <c r="F18" i="4" s="1"/>
  <c r="F19" i="4" s="1"/>
  <c r="F20" i="4" s="1"/>
  <c r="F21" i="4" s="1"/>
  <c r="F22" i="4" s="1"/>
  <c r="F23" i="4" s="1"/>
  <c r="F24" i="4" s="1"/>
  <c r="F25" i="4" s="1"/>
  <c r="F11" i="4"/>
  <c r="H8" i="4"/>
  <c r="CX6" i="5" a="1"/>
  <c r="P17" i="5" a="1"/>
  <c r="P22" i="5" a="1"/>
  <c r="CW6" i="5" a="1"/>
  <c r="P28" i="5" a="1"/>
  <c r="P11" i="5" a="1"/>
  <c r="L175" i="4" l="1"/>
  <c r="P174" i="4"/>
  <c r="K177" i="4"/>
  <c r="K173" i="4"/>
  <c r="N173" i="4" s="1"/>
  <c r="O173" i="4" s="1"/>
  <c r="Q173" i="4" s="1"/>
  <c r="K169" i="4"/>
  <c r="N169" i="4" s="1"/>
  <c r="O169" i="4" s="1"/>
  <c r="K164" i="4"/>
  <c r="N164" i="4" s="1"/>
  <c r="O164" i="4" s="1"/>
  <c r="Q164" i="4" s="1"/>
  <c r="K160" i="4"/>
  <c r="N160" i="4" s="1"/>
  <c r="O160" i="4" s="1"/>
  <c r="Q160" i="4" s="1"/>
  <c r="K156" i="4"/>
  <c r="N156" i="4" s="1"/>
  <c r="O156" i="4" s="1"/>
  <c r="Q156" i="4" s="1"/>
  <c r="K152" i="4"/>
  <c r="N152" i="4" s="1"/>
  <c r="O152" i="4" s="1"/>
  <c r="Q152" i="4" s="1"/>
  <c r="K148" i="4"/>
  <c r="N148" i="4" s="1"/>
  <c r="O148" i="4" s="1"/>
  <c r="Q148" i="4" s="1"/>
  <c r="K144" i="4"/>
  <c r="N144" i="4" s="1"/>
  <c r="O144" i="4" s="1"/>
  <c r="Q144" i="4" s="1"/>
  <c r="K139" i="4"/>
  <c r="N139" i="4" s="1"/>
  <c r="O139" i="4" s="1"/>
  <c r="Q139" i="4" s="1"/>
  <c r="K138" i="4"/>
  <c r="N138" i="4" s="1"/>
  <c r="O138" i="4" s="1"/>
  <c r="Q138" i="4" s="1"/>
  <c r="K176" i="4"/>
  <c r="K172" i="4"/>
  <c r="N172" i="4" s="1"/>
  <c r="O172" i="4" s="1"/>
  <c r="Q172" i="4" s="1"/>
  <c r="K168" i="4"/>
  <c r="N168" i="4" s="1"/>
  <c r="O168" i="4" s="1"/>
  <c r="Q168" i="4" s="1"/>
  <c r="K163" i="4"/>
  <c r="N163" i="4" s="1"/>
  <c r="O163" i="4" s="1"/>
  <c r="Q163" i="4" s="1"/>
  <c r="K159" i="4"/>
  <c r="N159" i="4" s="1"/>
  <c r="O159" i="4" s="1"/>
  <c r="Q159" i="4" s="1"/>
  <c r="K155" i="4"/>
  <c r="N155" i="4" s="1"/>
  <c r="O155" i="4" s="1"/>
  <c r="Q155" i="4" s="1"/>
  <c r="K151" i="4"/>
  <c r="N151" i="4" s="1"/>
  <c r="O151" i="4" s="1"/>
  <c r="Q151" i="4" s="1"/>
  <c r="K147" i="4"/>
  <c r="N147" i="4" s="1"/>
  <c r="O147" i="4" s="1"/>
  <c r="Q147" i="4" s="1"/>
  <c r="K143" i="4"/>
  <c r="N143" i="4" s="1"/>
  <c r="O143" i="4" s="1"/>
  <c r="U143" i="4" s="1"/>
  <c r="K165" i="4"/>
  <c r="N165" i="4" s="1"/>
  <c r="O165" i="4" s="1"/>
  <c r="Q165" i="4" s="1"/>
  <c r="K140" i="4"/>
  <c r="N140" i="4" s="1"/>
  <c r="O140" i="4" s="1"/>
  <c r="Q140" i="4" s="1"/>
  <c r="K175" i="4"/>
  <c r="K171" i="4"/>
  <c r="N171" i="4" s="1"/>
  <c r="O171" i="4" s="1"/>
  <c r="Q171" i="4" s="1"/>
  <c r="K166" i="4"/>
  <c r="N166" i="4" s="1"/>
  <c r="O166" i="4" s="1"/>
  <c r="Q166" i="4" s="1"/>
  <c r="K162" i="4"/>
  <c r="N162" i="4" s="1"/>
  <c r="O162" i="4" s="1"/>
  <c r="Q162" i="4" s="1"/>
  <c r="K158" i="4"/>
  <c r="N158" i="4" s="1"/>
  <c r="O158" i="4" s="1"/>
  <c r="K154" i="4"/>
  <c r="N154" i="4" s="1"/>
  <c r="O154" i="4" s="1"/>
  <c r="Q154" i="4" s="1"/>
  <c r="K150" i="4"/>
  <c r="N150" i="4" s="1"/>
  <c r="O150" i="4" s="1"/>
  <c r="K146" i="4"/>
  <c r="N146" i="4" s="1"/>
  <c r="O146" i="4" s="1"/>
  <c r="Q146" i="4" s="1"/>
  <c r="K142" i="4"/>
  <c r="N142" i="4" s="1"/>
  <c r="O142" i="4" s="1"/>
  <c r="Q142" i="4" s="1"/>
  <c r="K174" i="4"/>
  <c r="N174" i="4" s="1"/>
  <c r="O174" i="4" s="1"/>
  <c r="Q174" i="4" s="1"/>
  <c r="K157" i="4"/>
  <c r="N157" i="4" s="1"/>
  <c r="O157" i="4" s="1"/>
  <c r="Q157" i="4" s="1"/>
  <c r="K149" i="4"/>
  <c r="N149" i="4" s="1"/>
  <c r="O149" i="4" s="1"/>
  <c r="Q149" i="4" s="1"/>
  <c r="K145" i="4"/>
  <c r="N145" i="4" s="1"/>
  <c r="O145" i="4" s="1"/>
  <c r="Q145" i="4" s="1"/>
  <c r="K141" i="4"/>
  <c r="N141" i="4" s="1"/>
  <c r="O141" i="4" s="1"/>
  <c r="Q141" i="4" s="1"/>
  <c r="K178" i="4"/>
  <c r="K170" i="4"/>
  <c r="N170" i="4" s="1"/>
  <c r="O170" i="4" s="1"/>
  <c r="Q170" i="4" s="1"/>
  <c r="K161" i="4"/>
  <c r="N161" i="4" s="1"/>
  <c r="O161" i="4" s="1"/>
  <c r="Q161" i="4" s="1"/>
  <c r="K153" i="4"/>
  <c r="N153" i="4" s="1"/>
  <c r="O153" i="4" s="1"/>
  <c r="Q153" i="4" s="1"/>
  <c r="Y37" i="5"/>
  <c r="AA36" i="5"/>
  <c r="Y40" i="5"/>
  <c r="Y39" i="5"/>
  <c r="Y38" i="5"/>
  <c r="Y36" i="5"/>
  <c r="AA38" i="5"/>
  <c r="AA37" i="5"/>
  <c r="AO36" i="5"/>
  <c r="AA39" i="5"/>
  <c r="AA40" i="5"/>
  <c r="AA31" i="5"/>
  <c r="Y31" i="5"/>
  <c r="AO31" i="5"/>
  <c r="Y32" i="5"/>
  <c r="AA33" i="5"/>
  <c r="AA32" i="5"/>
  <c r="AA35" i="5"/>
  <c r="AA34" i="5"/>
  <c r="Y33" i="5"/>
  <c r="Y34" i="5"/>
  <c r="Y35" i="5"/>
  <c r="P106" i="4"/>
  <c r="P103" i="4"/>
  <c r="L104" i="4"/>
  <c r="K103" i="4"/>
  <c r="N103" i="4" s="1"/>
  <c r="O103" i="4" s="1"/>
  <c r="Q103" i="4" s="1"/>
  <c r="K105" i="4"/>
  <c r="K104" i="4"/>
  <c r="P102" i="4"/>
  <c r="AO16" i="5"/>
  <c r="AA28" i="5"/>
  <c r="AO21" i="5"/>
  <c r="D9" i="6"/>
  <c r="E9" i="6" s="1"/>
  <c r="M89" i="4"/>
  <c r="M90" i="4" s="1"/>
  <c r="M91" i="4" s="1"/>
  <c r="M92" i="4" s="1"/>
  <c r="M93" i="4" s="1"/>
  <c r="M60" i="4"/>
  <c r="M61" i="4" s="1"/>
  <c r="M62" i="4" s="1"/>
  <c r="M63" i="4" s="1"/>
  <c r="M64" i="4" s="1"/>
  <c r="M65" i="4" s="1"/>
  <c r="M66" i="4" s="1"/>
  <c r="L89" i="4"/>
  <c r="P88" i="4"/>
  <c r="M17" i="4"/>
  <c r="M18" i="4" s="1"/>
  <c r="M19" i="4" s="1"/>
  <c r="M20" i="4" s="1"/>
  <c r="M21" i="4" s="1"/>
  <c r="M22" i="4" s="1"/>
  <c r="M23" i="4" s="1"/>
  <c r="M24" i="4" s="1"/>
  <c r="M25" i="4" s="1"/>
  <c r="D3" i="6"/>
  <c r="E3" i="6" s="1"/>
  <c r="M129" i="4"/>
  <c r="M130" i="4" s="1"/>
  <c r="M131" i="4" s="1"/>
  <c r="M132" i="4" s="1"/>
  <c r="M133" i="4" s="1"/>
  <c r="M134" i="4" s="1"/>
  <c r="M135" i="4" s="1"/>
  <c r="M136" i="4" s="1"/>
  <c r="M137" i="4" s="1"/>
  <c r="M27" i="4"/>
  <c r="M28" i="4" s="1"/>
  <c r="M29" i="4" s="1"/>
  <c r="M30" i="4" s="1"/>
  <c r="M31" i="4" s="1"/>
  <c r="M32" i="4" s="1"/>
  <c r="D11" i="6"/>
  <c r="E11" i="6" s="1"/>
  <c r="M34" i="4"/>
  <c r="M35" i="4" s="1"/>
  <c r="M36" i="4" s="1"/>
  <c r="M37" i="4" s="1"/>
  <c r="M38" i="4" s="1"/>
  <c r="M39" i="4" s="1"/>
  <c r="D12" i="6"/>
  <c r="E12" i="6" s="1"/>
  <c r="K95" i="4"/>
  <c r="N95" i="4" s="1"/>
  <c r="O95" i="4" s="1"/>
  <c r="Q95" i="4" s="1"/>
  <c r="K96" i="4"/>
  <c r="N96" i="4" s="1"/>
  <c r="O96" i="4" s="1"/>
  <c r="Q96" i="4" s="1"/>
  <c r="K97" i="4"/>
  <c r="N97" i="4" s="1"/>
  <c r="O97" i="4" s="1"/>
  <c r="Q97" i="4" s="1"/>
  <c r="K100" i="4"/>
  <c r="N100" i="4" s="1"/>
  <c r="O100" i="4" s="1"/>
  <c r="Q100" i="4" s="1"/>
  <c r="K98" i="4"/>
  <c r="N98" i="4" s="1"/>
  <c r="O98" i="4" s="1"/>
  <c r="Q98" i="4" s="1"/>
  <c r="K101" i="4"/>
  <c r="N101" i="4" s="1"/>
  <c r="O101" i="4" s="1"/>
  <c r="Q101" i="4" s="1"/>
  <c r="K99" i="4"/>
  <c r="N99" i="4" s="1"/>
  <c r="O99" i="4" s="1"/>
  <c r="Q99" i="4" s="1"/>
  <c r="K102" i="4"/>
  <c r="N102" i="4" s="1"/>
  <c r="O102" i="4" s="1"/>
  <c r="Q102" i="4" s="1"/>
  <c r="K94" i="4"/>
  <c r="N94" i="4" s="1"/>
  <c r="O94" i="4" s="1"/>
  <c r="Q94" i="4" s="1"/>
  <c r="M41" i="4"/>
  <c r="M42" i="4" s="1"/>
  <c r="M43" i="4" s="1"/>
  <c r="M44" i="4" s="1"/>
  <c r="M45" i="4" s="1"/>
  <c r="M46" i="4" s="1"/>
  <c r="K93" i="4"/>
  <c r="K92" i="4"/>
  <c r="K10" i="4"/>
  <c r="N10" i="4" s="1"/>
  <c r="O10" i="4" s="1"/>
  <c r="Q10" i="4" s="1"/>
  <c r="K80" i="4"/>
  <c r="N80" i="4" s="1"/>
  <c r="O80" i="4" s="1"/>
  <c r="K91" i="4"/>
  <c r="K86" i="4"/>
  <c r="N86" i="4" s="1"/>
  <c r="O86" i="4" s="1"/>
  <c r="Q86" i="4" s="1"/>
  <c r="K82" i="4"/>
  <c r="N82" i="4" s="1"/>
  <c r="O82" i="4" s="1"/>
  <c r="Q82" i="4" s="1"/>
  <c r="K79" i="4"/>
  <c r="N79" i="4" s="1"/>
  <c r="O79" i="4" s="1"/>
  <c r="Q79" i="4" s="1"/>
  <c r="K87" i="4"/>
  <c r="N87" i="4" s="1"/>
  <c r="O87" i="4" s="1"/>
  <c r="Q87" i="4" s="1"/>
  <c r="K85" i="4"/>
  <c r="N85" i="4" s="1"/>
  <c r="O85" i="4" s="1"/>
  <c r="Q85" i="4" s="1"/>
  <c r="K83" i="4"/>
  <c r="N83" i="4" s="1"/>
  <c r="O83" i="4" s="1"/>
  <c r="Q83" i="4" s="1"/>
  <c r="K78" i="4"/>
  <c r="N78" i="4" s="1"/>
  <c r="O78" i="4" s="1"/>
  <c r="Q78" i="4" s="1"/>
  <c r="K81" i="4"/>
  <c r="N81" i="4" s="1"/>
  <c r="O81" i="4" s="1"/>
  <c r="Q81" i="4" s="1"/>
  <c r="K76" i="4"/>
  <c r="N76" i="4" s="1"/>
  <c r="O76" i="4" s="1"/>
  <c r="Q76" i="4" s="1"/>
  <c r="K90" i="4"/>
  <c r="K77" i="4"/>
  <c r="N77" i="4" s="1"/>
  <c r="O77" i="4" s="1"/>
  <c r="Q77" i="4" s="1"/>
  <c r="K75" i="4"/>
  <c r="N75" i="4" s="1"/>
  <c r="O75" i="4" s="1"/>
  <c r="Q75" i="4" s="1"/>
  <c r="K88" i="4"/>
  <c r="N88" i="4" s="1"/>
  <c r="O88" i="4" s="1"/>
  <c r="Q88" i="4" s="1"/>
  <c r="K84" i="4"/>
  <c r="N84" i="4" s="1"/>
  <c r="O84" i="4" s="1"/>
  <c r="Q84" i="4" s="1"/>
  <c r="K89" i="4"/>
  <c r="AO26" i="5"/>
  <c r="P28" i="5"/>
  <c r="K30" i="5"/>
  <c r="AA30" i="5" s="1"/>
  <c r="AA29" i="5"/>
  <c r="Q27" i="5"/>
  <c r="H17" i="5"/>
  <c r="H18" i="5" s="1"/>
  <c r="H19" i="5" s="1"/>
  <c r="H20" i="5" s="1"/>
  <c r="I28" i="5"/>
  <c r="J29" i="5"/>
  <c r="Y27" i="5"/>
  <c r="AA26" i="5"/>
  <c r="Y28" i="5"/>
  <c r="Y29" i="5"/>
  <c r="AA27" i="5"/>
  <c r="Y26" i="5"/>
  <c r="AA22" i="5"/>
  <c r="AA16" i="5"/>
  <c r="AA21" i="5"/>
  <c r="K121" i="4"/>
  <c r="M120" i="4"/>
  <c r="K122" i="4"/>
  <c r="K123" i="4"/>
  <c r="K124" i="4"/>
  <c r="K125" i="4"/>
  <c r="K126" i="4"/>
  <c r="K127" i="4"/>
  <c r="K120" i="4"/>
  <c r="P110" i="4"/>
  <c r="P108" i="4"/>
  <c r="R16" i="4"/>
  <c r="R26" i="4"/>
  <c r="R33" i="4"/>
  <c r="R40" i="4"/>
  <c r="R111" i="4"/>
  <c r="D5" i="6"/>
  <c r="E5" i="6" s="1"/>
  <c r="T111" i="4"/>
  <c r="F5" i="6" s="1"/>
  <c r="G5" i="6" s="1"/>
  <c r="L112" i="4"/>
  <c r="P111" i="4"/>
  <c r="K59" i="4"/>
  <c r="K136" i="4"/>
  <c r="K109" i="4"/>
  <c r="N109" i="4" s="1"/>
  <c r="O109" i="4" s="1"/>
  <c r="Q109" i="4" s="1"/>
  <c r="K117" i="4"/>
  <c r="K137" i="4"/>
  <c r="K65" i="4"/>
  <c r="K108" i="4"/>
  <c r="N108" i="4" s="1"/>
  <c r="O108" i="4" s="1"/>
  <c r="Q108" i="4" s="1"/>
  <c r="K54" i="4"/>
  <c r="K60" i="4"/>
  <c r="K66" i="4"/>
  <c r="K72" i="4"/>
  <c r="K110" i="4"/>
  <c r="N110" i="4" s="1"/>
  <c r="O110" i="4" s="1"/>
  <c r="Q110" i="4" s="1"/>
  <c r="P107" i="4"/>
  <c r="K118" i="4"/>
  <c r="K112" i="4"/>
  <c r="K63" i="4"/>
  <c r="K71" i="4"/>
  <c r="K116" i="4"/>
  <c r="K55" i="4"/>
  <c r="K61" i="4"/>
  <c r="K67" i="4"/>
  <c r="K73" i="4"/>
  <c r="K128" i="4"/>
  <c r="K47" i="4"/>
  <c r="N47" i="4" s="1"/>
  <c r="O47" i="4" s="1"/>
  <c r="Q47" i="4" s="1"/>
  <c r="K53" i="4"/>
  <c r="K129" i="4"/>
  <c r="K48" i="4"/>
  <c r="N48" i="4" s="1"/>
  <c r="O48" i="4" s="1"/>
  <c r="Q48" i="4" s="1"/>
  <c r="K111" i="4"/>
  <c r="N111" i="4" s="1"/>
  <c r="O111" i="4" s="1"/>
  <c r="K119" i="4"/>
  <c r="K49" i="4"/>
  <c r="N49" i="4" s="1"/>
  <c r="O49" i="4" s="1"/>
  <c r="Q49" i="4" s="1"/>
  <c r="K56" i="4"/>
  <c r="K62" i="4"/>
  <c r="K68" i="4"/>
  <c r="K74" i="4"/>
  <c r="K130" i="4"/>
  <c r="K131" i="4"/>
  <c r="K57" i="4"/>
  <c r="K69" i="4"/>
  <c r="K50" i="4"/>
  <c r="N50" i="4" s="1"/>
  <c r="O50" i="4" s="1"/>
  <c r="Q50" i="4" s="1"/>
  <c r="K52" i="4"/>
  <c r="K58" i="4"/>
  <c r="K64" i="4"/>
  <c r="K70" i="4"/>
  <c r="K106" i="4"/>
  <c r="N106" i="4" s="1"/>
  <c r="O106" i="4" s="1"/>
  <c r="Q106" i="4" s="1"/>
  <c r="K114" i="4"/>
  <c r="K134" i="4"/>
  <c r="K132" i="4"/>
  <c r="P109" i="4"/>
  <c r="K113" i="4"/>
  <c r="K133" i="4"/>
  <c r="K51" i="4"/>
  <c r="K107" i="4"/>
  <c r="N107" i="4" s="1"/>
  <c r="O107" i="4" s="1"/>
  <c r="Q107" i="4" s="1"/>
  <c r="K115" i="4"/>
  <c r="K135" i="4"/>
  <c r="P22" i="5"/>
  <c r="I23" i="5"/>
  <c r="M21" i="5"/>
  <c r="J23" i="5"/>
  <c r="AA17" i="5"/>
  <c r="K23" i="5"/>
  <c r="Y21" i="5"/>
  <c r="Y22" i="5"/>
  <c r="AS22" i="5"/>
  <c r="AS17" i="5"/>
  <c r="Y18" i="5"/>
  <c r="AA18" i="5"/>
  <c r="M16" i="5"/>
  <c r="P17" i="5"/>
  <c r="J18" i="5"/>
  <c r="Y17" i="5"/>
  <c r="K19" i="5"/>
  <c r="Y16" i="5"/>
  <c r="I17" i="5"/>
  <c r="L51" i="4"/>
  <c r="CX6" i="5"/>
  <c r="CW6" i="5"/>
  <c r="P11" i="5"/>
  <c r="I4" i="5"/>
  <c r="Y13" i="5"/>
  <c r="Y12" i="5"/>
  <c r="Y11" i="5"/>
  <c r="AA10" i="5"/>
  <c r="Y10" i="5"/>
  <c r="AO10" i="5"/>
  <c r="AA13" i="5"/>
  <c r="I13" i="5"/>
  <c r="K14" i="5"/>
  <c r="Y14" i="5" s="1"/>
  <c r="J13" i="5"/>
  <c r="H49" i="5"/>
  <c r="AA12" i="5"/>
  <c r="AS11" i="5"/>
  <c r="AA11" i="5"/>
  <c r="M10" i="5"/>
  <c r="K11" i="4"/>
  <c r="F12" i="4"/>
  <c r="K12" i="4" s="1"/>
  <c r="F39" i="4"/>
  <c r="K39" i="4" s="1"/>
  <c r="K38" i="4"/>
  <c r="K18" i="4"/>
  <c r="N18" i="4" s="1"/>
  <c r="O18" i="4" s="1"/>
  <c r="K29" i="4"/>
  <c r="N29" i="4" s="1"/>
  <c r="O29" i="4" s="1"/>
  <c r="F43" i="4"/>
  <c r="K42" i="4"/>
  <c r="K19" i="4"/>
  <c r="N19" i="4" s="1"/>
  <c r="O19" i="4" s="1"/>
  <c r="K30" i="4"/>
  <c r="K20" i="4"/>
  <c r="K31" i="4"/>
  <c r="K21" i="4"/>
  <c r="K32" i="4"/>
  <c r="K40" i="4"/>
  <c r="N40" i="4" s="1"/>
  <c r="O40" i="4" s="1"/>
  <c r="K22" i="4"/>
  <c r="K41" i="4"/>
  <c r="K23" i="4"/>
  <c r="K16" i="4"/>
  <c r="N16" i="4" s="1"/>
  <c r="O16" i="4" s="1"/>
  <c r="K24" i="4"/>
  <c r="K33" i="4"/>
  <c r="N33" i="4" s="1"/>
  <c r="O33" i="4" s="1"/>
  <c r="K25" i="4"/>
  <c r="K34" i="4"/>
  <c r="N34" i="4" s="1"/>
  <c r="O34" i="4" s="1"/>
  <c r="K26" i="4"/>
  <c r="N26" i="4" s="1"/>
  <c r="O26" i="4" s="1"/>
  <c r="K27" i="4"/>
  <c r="N27" i="4" s="1"/>
  <c r="O27" i="4" s="1"/>
  <c r="K35" i="4"/>
  <c r="K28" i="4"/>
  <c r="N28" i="4" s="1"/>
  <c r="O28" i="4" s="1"/>
  <c r="K36" i="4"/>
  <c r="K17" i="4"/>
  <c r="N17" i="4" s="1"/>
  <c r="O17" i="4" s="1"/>
  <c r="K37" i="4"/>
  <c r="P18" i="5" a="1"/>
  <c r="P23" i="5" a="1"/>
  <c r="P12" i="5" a="1"/>
  <c r="P29" i="5" a="1"/>
  <c r="Q150" i="4" l="1"/>
  <c r="U150" i="4"/>
  <c r="Q158" i="4"/>
  <c r="U158" i="4"/>
  <c r="Q169" i="4"/>
  <c r="U169" i="4"/>
  <c r="P175" i="4"/>
  <c r="N175" i="4"/>
  <c r="O175" i="4" s="1"/>
  <c r="Q175" i="4" s="1"/>
  <c r="L176" i="4"/>
  <c r="Q143" i="4"/>
  <c r="Y30" i="5"/>
  <c r="L105" i="4"/>
  <c r="P105" i="4" s="1"/>
  <c r="P104" i="4"/>
  <c r="N104" i="4"/>
  <c r="O104" i="4" s="1"/>
  <c r="Q104" i="4" s="1"/>
  <c r="Q34" i="4"/>
  <c r="Q19" i="4"/>
  <c r="N89" i="4"/>
  <c r="O89" i="4" s="1"/>
  <c r="Q89" i="4" s="1"/>
  <c r="Q27" i="4"/>
  <c r="Q28" i="4"/>
  <c r="Q29" i="4"/>
  <c r="Q17" i="4"/>
  <c r="Q18" i="4"/>
  <c r="L90" i="4"/>
  <c r="N90" i="4" s="1"/>
  <c r="O90" i="4" s="1"/>
  <c r="Q90" i="4" s="1"/>
  <c r="P89" i="4"/>
  <c r="M67" i="4"/>
  <c r="M68" i="4" s="1"/>
  <c r="M69" i="4" s="1"/>
  <c r="M70" i="4" s="1"/>
  <c r="M71" i="4" s="1"/>
  <c r="M72" i="4" s="1"/>
  <c r="M73" i="4" s="1"/>
  <c r="M74" i="4" s="1"/>
  <c r="U99" i="4"/>
  <c r="U83" i="4"/>
  <c r="R88" i="4"/>
  <c r="U88" i="4"/>
  <c r="U80" i="4"/>
  <c r="Q80" i="4"/>
  <c r="T88" i="4"/>
  <c r="F9" i="6" s="1"/>
  <c r="G9" i="6" s="1"/>
  <c r="P29" i="5"/>
  <c r="J30" i="5"/>
  <c r="Q28" i="5"/>
  <c r="I29" i="5"/>
  <c r="M121" i="4"/>
  <c r="M122" i="4" s="1"/>
  <c r="M123" i="4" s="1"/>
  <c r="M124" i="4" s="1"/>
  <c r="M125" i="4" s="1"/>
  <c r="M126" i="4" s="1"/>
  <c r="M127" i="4" s="1"/>
  <c r="N112" i="4"/>
  <c r="O112" i="4" s="1"/>
  <c r="Q112" i="4" s="1"/>
  <c r="Q111" i="4"/>
  <c r="U111" i="4"/>
  <c r="L52" i="4"/>
  <c r="L113" i="4"/>
  <c r="P112" i="4"/>
  <c r="P23" i="5"/>
  <c r="I24" i="5"/>
  <c r="AA23" i="5"/>
  <c r="K24" i="5"/>
  <c r="Y23" i="5"/>
  <c r="Y19" i="5"/>
  <c r="K20" i="5"/>
  <c r="J24" i="5"/>
  <c r="Q22" i="5"/>
  <c r="P18" i="5"/>
  <c r="Q17" i="5"/>
  <c r="I18" i="5"/>
  <c r="AA19" i="5"/>
  <c r="J19" i="5"/>
  <c r="J20" i="5" s="1"/>
  <c r="N51" i="4"/>
  <c r="O51" i="4" s="1"/>
  <c r="Q51" i="4" s="1"/>
  <c r="U26" i="4"/>
  <c r="Q26" i="4"/>
  <c r="U33" i="4"/>
  <c r="Q33" i="4"/>
  <c r="U16" i="4"/>
  <c r="Q16" i="4"/>
  <c r="U40" i="4"/>
  <c r="Q40" i="4"/>
  <c r="F13" i="4"/>
  <c r="F14" i="4" s="1"/>
  <c r="F15" i="4" s="1"/>
  <c r="K15" i="4" s="1"/>
  <c r="N15" i="4" s="1"/>
  <c r="O15" i="4" s="1"/>
  <c r="Q15" i="4" s="1"/>
  <c r="P12" i="5"/>
  <c r="I14" i="5"/>
  <c r="H50" i="5"/>
  <c r="J14" i="5"/>
  <c r="AA14" i="5"/>
  <c r="K15" i="5"/>
  <c r="Q11" i="5"/>
  <c r="F44" i="4"/>
  <c r="K43" i="4"/>
  <c r="P19" i="5" a="1"/>
  <c r="P13" i="5" a="1"/>
  <c r="P30" i="5" a="1"/>
  <c r="P24" i="5" a="1"/>
  <c r="L177" i="4" l="1"/>
  <c r="P176" i="4"/>
  <c r="N176" i="4"/>
  <c r="O176" i="4" s="1"/>
  <c r="Q176" i="4" s="1"/>
  <c r="N105" i="4"/>
  <c r="O105" i="4" s="1"/>
  <c r="Q105" i="4" s="1"/>
  <c r="L91" i="4"/>
  <c r="P90" i="4"/>
  <c r="P30" i="5"/>
  <c r="Q30" i="5" s="1"/>
  <c r="Q29" i="5"/>
  <c r="I30" i="5"/>
  <c r="D4" i="6"/>
  <c r="E4" i="6" s="1"/>
  <c r="R52" i="4"/>
  <c r="P113" i="4"/>
  <c r="N113" i="4"/>
  <c r="O113" i="4" s="1"/>
  <c r="Q113" i="4" s="1"/>
  <c r="L114" i="4"/>
  <c r="L53" i="4"/>
  <c r="T52" i="4"/>
  <c r="F4" i="6" s="1"/>
  <c r="G4" i="6" s="1"/>
  <c r="N52" i="4"/>
  <c r="O52" i="4" s="1"/>
  <c r="P24" i="5"/>
  <c r="J25" i="5"/>
  <c r="AA20" i="5"/>
  <c r="Y20" i="5"/>
  <c r="K25" i="5"/>
  <c r="AA24" i="5"/>
  <c r="Y24" i="5"/>
  <c r="I25" i="5"/>
  <c r="Q23" i="5"/>
  <c r="P19" i="5"/>
  <c r="I19" i="5"/>
  <c r="I20" i="5" s="1"/>
  <c r="Q18" i="5"/>
  <c r="K13" i="4"/>
  <c r="K14" i="4"/>
  <c r="P13" i="5"/>
  <c r="Q12" i="5"/>
  <c r="J15" i="5"/>
  <c r="H51" i="5"/>
  <c r="AA15" i="5"/>
  <c r="Y15" i="5"/>
  <c r="I15" i="5"/>
  <c r="F45" i="4"/>
  <c r="K44" i="4"/>
  <c r="P20" i="5" a="1"/>
  <c r="P14" i="5" a="1"/>
  <c r="P25" i="5" a="1"/>
  <c r="L178" i="4" l="1"/>
  <c r="N177" i="4"/>
  <c r="O177" i="4" s="1"/>
  <c r="Q177" i="4" s="1"/>
  <c r="P177" i="4"/>
  <c r="L92" i="4"/>
  <c r="P91" i="4"/>
  <c r="N91" i="4"/>
  <c r="O91" i="4" s="1"/>
  <c r="Q91" i="4" s="1"/>
  <c r="Q52" i="4"/>
  <c r="U52" i="4"/>
  <c r="L54" i="4"/>
  <c r="N53" i="4"/>
  <c r="O53" i="4" s="1"/>
  <c r="Q53" i="4" s="1"/>
  <c r="P114" i="4"/>
  <c r="L115" i="4"/>
  <c r="N114" i="4"/>
  <c r="O114" i="4" s="1"/>
  <c r="Q114" i="4" s="1"/>
  <c r="P25" i="5"/>
  <c r="Q25" i="5" s="1"/>
  <c r="AA25" i="5"/>
  <c r="Y25" i="5"/>
  <c r="Q24" i="5"/>
  <c r="P20" i="5"/>
  <c r="Q20" i="5" s="1"/>
  <c r="Q19" i="5"/>
  <c r="P14" i="5"/>
  <c r="Q13" i="5"/>
  <c r="H52" i="5"/>
  <c r="F46" i="4"/>
  <c r="K46" i="4" s="1"/>
  <c r="K45" i="4"/>
  <c r="P15" i="5" a="1"/>
  <c r="N178" i="4" l="1"/>
  <c r="O178" i="4" s="1"/>
  <c r="Q178" i="4" s="1"/>
  <c r="P178" i="4"/>
  <c r="L93" i="4"/>
  <c r="P92" i="4"/>
  <c r="N92" i="4"/>
  <c r="O92" i="4" s="1"/>
  <c r="Q92" i="4" s="1"/>
  <c r="N115" i="4"/>
  <c r="O115" i="4" s="1"/>
  <c r="Q115" i="4" s="1"/>
  <c r="L116" i="4"/>
  <c r="P115" i="4"/>
  <c r="L55" i="4"/>
  <c r="N54" i="4"/>
  <c r="O54" i="4" s="1"/>
  <c r="Q54" i="4" s="1"/>
  <c r="P15" i="5"/>
  <c r="Q15" i="5" s="1"/>
  <c r="Q14" i="5"/>
  <c r="H53" i="5"/>
  <c r="P93" i="4" l="1"/>
  <c r="N93" i="4"/>
  <c r="O93" i="4" s="1"/>
  <c r="Q93" i="4" s="1"/>
  <c r="L56" i="4"/>
  <c r="N55" i="4"/>
  <c r="O55" i="4" s="1"/>
  <c r="Q55" i="4" s="1"/>
  <c r="P116" i="4"/>
  <c r="L117" i="4"/>
  <c r="N116" i="4"/>
  <c r="O116" i="4" s="1"/>
  <c r="Q116" i="4" s="1"/>
  <c r="H54" i="5"/>
  <c r="L118" i="4" l="1"/>
  <c r="P117" i="4"/>
  <c r="N117" i="4"/>
  <c r="O117" i="4" s="1"/>
  <c r="Q117" i="4" s="1"/>
  <c r="L57" i="4"/>
  <c r="N56" i="4"/>
  <c r="O56" i="4" s="1"/>
  <c r="Q56" i="4" s="1"/>
  <c r="H55" i="5"/>
  <c r="L58" i="4" l="1"/>
  <c r="N57" i="4"/>
  <c r="O57" i="4" s="1"/>
  <c r="Q57" i="4" s="1"/>
  <c r="P118" i="4"/>
  <c r="L119" i="4"/>
  <c r="L120" i="4" s="1"/>
  <c r="D6" i="6" s="1"/>
  <c r="E6" i="6" s="1"/>
  <c r="N118" i="4"/>
  <c r="O118" i="4" s="1"/>
  <c r="Q118" i="4" s="1"/>
  <c r="H56" i="5"/>
  <c r="J55" i="5" a="1"/>
  <c r="I55" i="5" a="1"/>
  <c r="P120" i="4" l="1"/>
  <c r="T120" i="4"/>
  <c r="F6" i="6" s="1"/>
  <c r="G6" i="6" s="1"/>
  <c r="L121" i="4"/>
  <c r="N120" i="4"/>
  <c r="O120" i="4" s="1"/>
  <c r="R120" i="4"/>
  <c r="N119" i="4"/>
  <c r="O119" i="4" s="1"/>
  <c r="Q119" i="4" s="1"/>
  <c r="L128" i="4"/>
  <c r="P119" i="4"/>
  <c r="N58" i="4"/>
  <c r="O58" i="4" s="1"/>
  <c r="Q58" i="4" s="1"/>
  <c r="L59" i="4"/>
  <c r="I55" i="5"/>
  <c r="J55" i="5"/>
  <c r="H57" i="5"/>
  <c r="I56" i="5" a="1"/>
  <c r="J56" i="5" a="1"/>
  <c r="R128" i="4" l="1"/>
  <c r="D7" i="6"/>
  <c r="E7" i="6" s="1"/>
  <c r="R59" i="4"/>
  <c r="D10" i="6"/>
  <c r="E10" i="6" s="1"/>
  <c r="Q120" i="4"/>
  <c r="U120" i="4"/>
  <c r="L122" i="4"/>
  <c r="P121" i="4"/>
  <c r="N121" i="4"/>
  <c r="O121" i="4" s="1"/>
  <c r="Q121" i="4" s="1"/>
  <c r="T128" i="4"/>
  <c r="F7" i="6" s="1"/>
  <c r="G7" i="6" s="1"/>
  <c r="P128" i="4"/>
  <c r="L129" i="4"/>
  <c r="N128" i="4"/>
  <c r="O128" i="4" s="1"/>
  <c r="T59" i="4"/>
  <c r="F10" i="6" s="1"/>
  <c r="G10" i="6" s="1"/>
  <c r="L60" i="4"/>
  <c r="N59" i="4"/>
  <c r="O59" i="4" s="1"/>
  <c r="I56" i="5"/>
  <c r="J56" i="5"/>
  <c r="H58" i="5"/>
  <c r="I57" i="5" a="1"/>
  <c r="J57" i="5" a="1"/>
  <c r="L123" i="4" l="1"/>
  <c r="P122" i="4"/>
  <c r="N122" i="4"/>
  <c r="O122" i="4" s="1"/>
  <c r="Q122" i="4" s="1"/>
  <c r="Q128" i="4"/>
  <c r="U128" i="4"/>
  <c r="Q59" i="4"/>
  <c r="U59" i="4"/>
  <c r="L61" i="4"/>
  <c r="N60" i="4"/>
  <c r="O60" i="4" s="1"/>
  <c r="Q60" i="4" s="1"/>
  <c r="N129" i="4"/>
  <c r="O129" i="4" s="1"/>
  <c r="Q129" i="4" s="1"/>
  <c r="P129" i="4"/>
  <c r="L130" i="4"/>
  <c r="I57" i="5"/>
  <c r="J57" i="5"/>
  <c r="H59" i="5"/>
  <c r="J58" i="5" a="1"/>
  <c r="I58" i="5" a="1"/>
  <c r="N123" i="4" l="1"/>
  <c r="O123" i="4" s="1"/>
  <c r="Q123" i="4" s="1"/>
  <c r="L124" i="4"/>
  <c r="P123" i="4"/>
  <c r="P130" i="4"/>
  <c r="L131" i="4"/>
  <c r="N130" i="4"/>
  <c r="O130" i="4" s="1"/>
  <c r="Q130" i="4" s="1"/>
  <c r="L62" i="4"/>
  <c r="N61" i="4"/>
  <c r="O61" i="4" s="1"/>
  <c r="Q61" i="4" s="1"/>
  <c r="I58" i="5"/>
  <c r="J58" i="5"/>
  <c r="H60" i="5"/>
  <c r="I59" i="5" a="1"/>
  <c r="J59" i="5" a="1"/>
  <c r="L125" i="4" l="1"/>
  <c r="P124" i="4"/>
  <c r="N124" i="4"/>
  <c r="O124" i="4" s="1"/>
  <c r="Q124" i="4" s="1"/>
  <c r="L63" i="4"/>
  <c r="N62" i="4"/>
  <c r="O62" i="4" s="1"/>
  <c r="Q62" i="4" s="1"/>
  <c r="L132" i="4"/>
  <c r="P131" i="4"/>
  <c r="N131" i="4"/>
  <c r="O131" i="4" s="1"/>
  <c r="Q131" i="4" s="1"/>
  <c r="I59" i="5"/>
  <c r="J59" i="5"/>
  <c r="H61" i="5"/>
  <c r="J60" i="5" a="1"/>
  <c r="I60" i="5" a="1"/>
  <c r="P125" i="4" l="1"/>
  <c r="N125" i="4"/>
  <c r="O125" i="4" s="1"/>
  <c r="Q125" i="4" s="1"/>
  <c r="L126" i="4"/>
  <c r="N132" i="4"/>
  <c r="O132" i="4" s="1"/>
  <c r="Q132" i="4" s="1"/>
  <c r="L133" i="4"/>
  <c r="P132" i="4"/>
  <c r="N63" i="4"/>
  <c r="O63" i="4" s="1"/>
  <c r="Q63" i="4" s="1"/>
  <c r="L64" i="4"/>
  <c r="I60" i="5"/>
  <c r="J60" i="5"/>
  <c r="H62" i="5"/>
  <c r="J61" i="5" a="1"/>
  <c r="I61" i="5" a="1"/>
  <c r="N126" i="4" l="1"/>
  <c r="O126" i="4" s="1"/>
  <c r="Q126" i="4" s="1"/>
  <c r="L127" i="4"/>
  <c r="P126" i="4"/>
  <c r="N133" i="4"/>
  <c r="O133" i="4" s="1"/>
  <c r="Q133" i="4" s="1"/>
  <c r="P133" i="4"/>
  <c r="L134" i="4"/>
  <c r="L65" i="4"/>
  <c r="N64" i="4"/>
  <c r="O64" i="4" s="1"/>
  <c r="Q64" i="4" s="1"/>
  <c r="I61" i="5"/>
  <c r="J61" i="5"/>
  <c r="H63" i="5"/>
  <c r="I62" i="5" a="1"/>
  <c r="J62" i="5" a="1"/>
  <c r="N127" i="4" l="1"/>
  <c r="O127" i="4" s="1"/>
  <c r="Q127" i="4" s="1"/>
  <c r="P127" i="4"/>
  <c r="N65" i="4"/>
  <c r="O65" i="4" s="1"/>
  <c r="Q65" i="4" s="1"/>
  <c r="L66" i="4"/>
  <c r="L135" i="4"/>
  <c r="P134" i="4"/>
  <c r="N134" i="4"/>
  <c r="O134" i="4" s="1"/>
  <c r="Q134" i="4" s="1"/>
  <c r="I62" i="5"/>
  <c r="J62" i="5"/>
  <c r="H64" i="5"/>
  <c r="J63" i="5" a="1"/>
  <c r="I63" i="5" a="1"/>
  <c r="R66" i="4" l="1"/>
  <c r="D13" i="6"/>
  <c r="E13" i="6" s="1"/>
  <c r="L136" i="4"/>
  <c r="P135" i="4"/>
  <c r="N135" i="4"/>
  <c r="O135" i="4" s="1"/>
  <c r="Q135" i="4" s="1"/>
  <c r="T66" i="4"/>
  <c r="F13" i="6" s="1"/>
  <c r="G13" i="6" s="1"/>
  <c r="N66" i="4"/>
  <c r="O66" i="4" s="1"/>
  <c r="L67" i="4"/>
  <c r="J63" i="5"/>
  <c r="I63" i="5"/>
  <c r="H65" i="5"/>
  <c r="J64" i="5" a="1"/>
  <c r="I64" i="5" a="1"/>
  <c r="G20" i="6" l="1"/>
  <c r="G21" i="6"/>
  <c r="Q66" i="4"/>
  <c r="U66" i="4"/>
  <c r="W140" i="4" s="1"/>
  <c r="L68" i="4"/>
  <c r="N67" i="4"/>
  <c r="O67" i="4" s="1"/>
  <c r="Q67" i="4" s="1"/>
  <c r="N136" i="4"/>
  <c r="O136" i="4" s="1"/>
  <c r="Q136" i="4" s="1"/>
  <c r="P136" i="4"/>
  <c r="L137" i="4"/>
  <c r="I64" i="5"/>
  <c r="J64" i="5"/>
  <c r="H66" i="5"/>
  <c r="K7" i="5"/>
  <c r="K6" i="5"/>
  <c r="J65" i="5" a="1"/>
  <c r="I65" i="5" a="1"/>
  <c r="N137" i="4" l="1"/>
  <c r="O137" i="4" s="1"/>
  <c r="Q137" i="4" s="1"/>
  <c r="P137" i="4"/>
  <c r="L69" i="4"/>
  <c r="N68" i="4"/>
  <c r="O68" i="4" s="1"/>
  <c r="Q68" i="4" s="1"/>
  <c r="I65" i="5"/>
  <c r="J65" i="5"/>
  <c r="H67" i="5"/>
  <c r="I66" i="5" a="1"/>
  <c r="J66" i="5" a="1"/>
  <c r="N69" i="4" l="1"/>
  <c r="O69" i="4" s="1"/>
  <c r="Q69" i="4" s="1"/>
  <c r="L70" i="4"/>
  <c r="J66" i="5"/>
  <c r="I66" i="5"/>
  <c r="H68" i="5"/>
  <c r="J67" i="5" a="1"/>
  <c r="I67" i="5" a="1"/>
  <c r="L71" i="4" l="1"/>
  <c r="N70" i="4"/>
  <c r="O70" i="4" s="1"/>
  <c r="Q70" i="4" s="1"/>
  <c r="I67" i="5"/>
  <c r="J67" i="5"/>
  <c r="H69" i="5"/>
  <c r="I68" i="5" a="1"/>
  <c r="J68" i="5" a="1"/>
  <c r="L72" i="4" l="1"/>
  <c r="N71" i="4"/>
  <c r="O71" i="4" s="1"/>
  <c r="Q71" i="4" s="1"/>
  <c r="I68" i="5"/>
  <c r="J68" i="5"/>
  <c r="H70" i="5"/>
  <c r="I69" i="5" a="1"/>
  <c r="J69" i="5" a="1"/>
  <c r="L73" i="4" l="1"/>
  <c r="N72" i="4"/>
  <c r="O72" i="4" s="1"/>
  <c r="Q72" i="4" s="1"/>
  <c r="J69" i="5"/>
  <c r="I69" i="5"/>
  <c r="H71" i="5"/>
  <c r="I70" i="5" a="1"/>
  <c r="J70" i="5" a="1"/>
  <c r="L74" i="4" l="1"/>
  <c r="N74" i="4" s="1"/>
  <c r="O74" i="4" s="1"/>
  <c r="Q74" i="4" s="1"/>
  <c r="N73" i="4"/>
  <c r="O73" i="4" s="1"/>
  <c r="Q73" i="4" s="1"/>
  <c r="I70" i="5"/>
  <c r="J70" i="5"/>
  <c r="H72" i="5"/>
  <c r="I71" i="5" a="1"/>
  <c r="J71" i="5" a="1"/>
  <c r="I71" i="5" l="1"/>
  <c r="J71" i="5"/>
  <c r="H73" i="5"/>
  <c r="I72" i="5" a="1"/>
  <c r="J72" i="5" a="1"/>
  <c r="J72" i="5" l="1"/>
  <c r="I72" i="5"/>
  <c r="H74" i="5"/>
  <c r="J73" i="5" a="1"/>
  <c r="I73" i="5" a="1"/>
  <c r="I73" i="5" l="1"/>
  <c r="J73" i="5"/>
  <c r="H75" i="5"/>
  <c r="J74" i="5" a="1"/>
  <c r="I74" i="5" a="1"/>
  <c r="I74" i="5" l="1"/>
  <c r="J74" i="5"/>
  <c r="H76" i="5"/>
  <c r="J75" i="5" a="1"/>
  <c r="I75" i="5" a="1"/>
  <c r="J75" i="5" l="1"/>
  <c r="I75" i="5"/>
  <c r="H77" i="5"/>
  <c r="J76" i="5" a="1"/>
  <c r="I76" i="5" a="1"/>
  <c r="J76" i="5" l="1"/>
  <c r="I76" i="5"/>
  <c r="H78" i="5"/>
  <c r="J77" i="5" a="1"/>
  <c r="I77" i="5" a="1"/>
  <c r="I77" i="5" l="1"/>
  <c r="J77" i="5"/>
  <c r="H79" i="5"/>
  <c r="I78" i="5" a="1"/>
  <c r="J78" i="5" a="1"/>
  <c r="J78" i="5" l="1"/>
  <c r="I78" i="5"/>
  <c r="H80" i="5"/>
  <c r="J79" i="5" a="1"/>
  <c r="I79" i="5" a="1"/>
  <c r="I79" i="5" l="1"/>
  <c r="J79" i="5"/>
  <c r="H81" i="5"/>
  <c r="J80" i="5" a="1"/>
  <c r="I80" i="5" a="1"/>
  <c r="I80" i="5" l="1"/>
  <c r="J80" i="5"/>
  <c r="H82" i="5"/>
  <c r="I81" i="5" a="1"/>
  <c r="J81" i="5" a="1"/>
  <c r="J81" i="5" l="1"/>
  <c r="I81" i="5"/>
  <c r="H83" i="5"/>
  <c r="J82" i="5" a="1"/>
  <c r="I82" i="5" a="1"/>
  <c r="I82" i="5" l="1"/>
  <c r="J82" i="5"/>
  <c r="H84" i="5"/>
  <c r="J83" i="5" a="1"/>
  <c r="I83" i="5" a="1"/>
  <c r="J83" i="5" l="1"/>
  <c r="I83" i="5"/>
  <c r="H85" i="5"/>
  <c r="I84" i="5" a="1"/>
  <c r="J84" i="5" a="1"/>
  <c r="I84" i="5" l="1"/>
  <c r="J84" i="5"/>
  <c r="H86" i="5"/>
  <c r="J85" i="5" a="1"/>
  <c r="I85" i="5" a="1"/>
  <c r="I85" i="5" l="1"/>
  <c r="J85" i="5"/>
  <c r="H87" i="5"/>
  <c r="I86" i="5" a="1"/>
  <c r="J86" i="5" a="1"/>
  <c r="J86" i="5" l="1"/>
  <c r="I86" i="5"/>
  <c r="J87" i="5" a="1"/>
  <c r="I87" i="5" a="1"/>
  <c r="I87" i="5" l="1"/>
  <c r="J87" i="5"/>
  <c r="H30" i="4" l="1"/>
  <c r="N30" i="4" s="1"/>
  <c r="O30" i="4" s="1"/>
  <c r="Q30" i="4" s="1"/>
  <c r="H42" i="4"/>
  <c r="N42" i="4" s="1"/>
  <c r="O42" i="4" s="1"/>
  <c r="Q42" i="4" s="1"/>
  <c r="H35" i="4"/>
  <c r="N35" i="4" s="1"/>
  <c r="O35" i="4" s="1"/>
  <c r="Q35" i="4" s="1"/>
  <c r="H38" i="4"/>
  <c r="N38" i="4" s="1"/>
  <c r="O38" i="4" s="1"/>
  <c r="Q38" i="4" s="1"/>
  <c r="H37" i="4"/>
  <c r="N37" i="4" s="1"/>
  <c r="O37" i="4" s="1"/>
  <c r="Q37" i="4" s="1"/>
  <c r="H36" i="4"/>
  <c r="N36" i="4" s="1"/>
  <c r="O36" i="4" s="1"/>
  <c r="Q36" i="4" s="1"/>
  <c r="H39" i="4"/>
  <c r="N39" i="4" s="1"/>
  <c r="O39" i="4" s="1"/>
  <c r="Q39" i="4" s="1"/>
  <c r="H44" i="4"/>
  <c r="N44" i="4" s="1"/>
  <c r="O44" i="4" s="1"/>
  <c r="Q44" i="4" s="1"/>
  <c r="H46" i="4"/>
  <c r="N46" i="4" s="1"/>
  <c r="O46" i="4" s="1"/>
  <c r="Q46" i="4" s="1"/>
  <c r="H45" i="4"/>
  <c r="N45" i="4" s="1"/>
  <c r="O45" i="4" s="1"/>
  <c r="Q45" i="4" s="1"/>
  <c r="H43" i="4"/>
  <c r="N43" i="4" s="1"/>
  <c r="O43" i="4" s="1"/>
  <c r="Q43" i="4" s="1"/>
  <c r="H41" i="4"/>
  <c r="N41" i="4" s="1"/>
  <c r="O41" i="4" s="1"/>
  <c r="Q41" i="4" s="1"/>
  <c r="H32" i="4"/>
  <c r="N32" i="4" s="1"/>
  <c r="O32" i="4" s="1"/>
  <c r="Q32" i="4" s="1"/>
  <c r="H31" i="4"/>
  <c r="N31" i="4" s="1"/>
  <c r="O31" i="4" s="1"/>
  <c r="Q31" i="4" s="1"/>
  <c r="H14" i="4"/>
  <c r="N14" i="4" s="1"/>
  <c r="O14" i="4" s="1"/>
  <c r="Q14" i="4" s="1"/>
  <c r="H13" i="4"/>
  <c r="N13" i="4" s="1"/>
  <c r="O13" i="4" s="1"/>
  <c r="Q13" i="4" s="1"/>
  <c r="H12" i="4"/>
  <c r="N12" i="4" s="1"/>
  <c r="O12" i="4" s="1"/>
  <c r="Q12" i="4" s="1"/>
  <c r="H11" i="4"/>
  <c r="N11" i="4" s="1"/>
  <c r="O11" i="4" s="1"/>
  <c r="Q11" i="4" s="1"/>
  <c r="H25" i="4"/>
  <c r="N25" i="4" s="1"/>
  <c r="O25" i="4" s="1"/>
  <c r="Q25" i="4" s="1"/>
  <c r="H24" i="4"/>
  <c r="N24" i="4" s="1"/>
  <c r="O24" i="4" s="1"/>
  <c r="Q24" i="4" s="1"/>
  <c r="H23" i="4"/>
  <c r="N23" i="4" s="1"/>
  <c r="O23" i="4" s="1"/>
  <c r="Q23" i="4" s="1"/>
  <c r="H21" i="4"/>
  <c r="N21" i="4" s="1"/>
  <c r="O21" i="4" s="1"/>
  <c r="Q21" i="4" s="1"/>
  <c r="H22" i="4"/>
  <c r="N22" i="4" s="1"/>
  <c r="O22" i="4" s="1"/>
  <c r="Q22" i="4" s="1"/>
  <c r="H20" i="4"/>
  <c r="N20" i="4" s="1"/>
  <c r="O20" i="4" s="1"/>
  <c r="Q20" i="4" s="1"/>
  <c r="H6" i="4" l="1"/>
  <c r="P75" i="4" l="1"/>
  <c r="P86" i="4"/>
  <c r="P80" i="4"/>
  <c r="P82" i="4"/>
  <c r="P84" i="4"/>
  <c r="P79" i="4"/>
  <c r="P83" i="4"/>
  <c r="P85" i="4"/>
  <c r="P78" i="4"/>
  <c r="P76" i="4"/>
  <c r="P81" i="4"/>
  <c r="P77" i="4"/>
  <c r="P87" i="4"/>
  <c r="P71" i="4"/>
  <c r="P65" i="4"/>
  <c r="P59" i="4"/>
  <c r="P53" i="4"/>
  <c r="P47" i="4"/>
  <c r="P64" i="4"/>
  <c r="P58" i="4"/>
  <c r="P50" i="4"/>
  <c r="P51" i="4"/>
  <c r="P70" i="4"/>
  <c r="P73" i="4"/>
  <c r="P61" i="4"/>
  <c r="P74" i="4"/>
  <c r="P68" i="4"/>
  <c r="P62" i="4"/>
  <c r="P56" i="4"/>
  <c r="P49" i="4"/>
  <c r="P52" i="4"/>
  <c r="P69" i="4"/>
  <c r="P67" i="4"/>
  <c r="P55" i="4"/>
  <c r="P57" i="4"/>
  <c r="P48" i="4"/>
  <c r="P63" i="4"/>
  <c r="P72" i="4"/>
  <c r="P66" i="4"/>
  <c r="P60" i="4"/>
  <c r="P54" i="4"/>
  <c r="P10" i="4"/>
  <c r="P15" i="4"/>
  <c r="P25" i="4"/>
  <c r="P34" i="4"/>
  <c r="P31" i="4"/>
  <c r="P13" i="4"/>
  <c r="P29" i="4"/>
  <c r="P11" i="4"/>
  <c r="P41" i="4"/>
  <c r="P30" i="4"/>
  <c r="P43" i="4"/>
  <c r="P12" i="4"/>
  <c r="P33" i="4"/>
  <c r="P40" i="4"/>
  <c r="P27" i="4"/>
  <c r="P38" i="4"/>
  <c r="P26" i="4"/>
  <c r="P39" i="4"/>
  <c r="P32" i="4"/>
  <c r="P28" i="4"/>
  <c r="P37" i="4"/>
  <c r="P36" i="4"/>
  <c r="P45" i="4"/>
  <c r="P46" i="4"/>
  <c r="P35" i="4"/>
  <c r="P44" i="4"/>
  <c r="P14" i="4"/>
  <c r="P42" i="4"/>
  <c r="P23" i="4"/>
  <c r="P22" i="4"/>
  <c r="P24" i="4"/>
  <c r="P21" i="4"/>
  <c r="P20" i="4"/>
  <c r="P19" i="4"/>
  <c r="P17" i="4"/>
  <c r="P18" i="4"/>
  <c r="P16" i="4"/>
  <c r="N10" i="5" l="1" a="1"/>
  <c r="N10" i="5"/>
  <c r="U10" i="5"/>
  <c r="AB10" i="5"/>
  <c r="AD10" i="5"/>
  <c r="AE10" i="5"/>
  <c r="AF10" i="5"/>
  <c r="AG10" i="5" a="1"/>
  <c r="AG10" i="5"/>
  <c r="AH10" i="5" a="1"/>
  <c r="AH10" i="5"/>
  <c r="AI10" i="5"/>
  <c r="AJ10" i="5"/>
  <c r="AK10" i="5"/>
  <c r="AL10" i="5"/>
  <c r="AM10" i="5"/>
  <c r="AN10" i="5"/>
  <c r="AP10" i="5"/>
  <c r="AQ10" i="5"/>
  <c r="AR10" i="5"/>
  <c r="AT10" i="5"/>
  <c r="AU10" i="5"/>
  <c r="AV10" i="5"/>
  <c r="AW10" i="5"/>
  <c r="AX10" i="5"/>
  <c r="AY10" i="5"/>
  <c r="BA10" i="5"/>
  <c r="BB10" i="5"/>
  <c r="BC10" i="5"/>
  <c r="BD10" i="5"/>
  <c r="BE10" i="5"/>
  <c r="BF10" i="5"/>
  <c r="BG10" i="5"/>
  <c r="BH10" i="5"/>
  <c r="BI10" i="5"/>
  <c r="BJ10" i="5"/>
  <c r="BK10" i="5"/>
  <c r="BL10" i="5"/>
  <c r="BM10" i="5"/>
  <c r="BN10" i="5"/>
  <c r="BO10" i="5"/>
  <c r="BP10" i="5"/>
  <c r="BQ10" i="5"/>
  <c r="BR10" i="5"/>
  <c r="U11" i="5"/>
  <c r="AB11" i="5"/>
  <c r="AD11" i="5"/>
  <c r="AE11" i="5"/>
  <c r="AF11" i="5"/>
  <c r="AG11" i="5"/>
  <c r="AH11" i="5"/>
  <c r="AI11" i="5"/>
  <c r="AJ11" i="5"/>
  <c r="AR11" i="5"/>
  <c r="AT11" i="5"/>
  <c r="AU11" i="5"/>
  <c r="AV11" i="5"/>
  <c r="BI11" i="5"/>
  <c r="BJ11" i="5"/>
  <c r="BK11" i="5"/>
  <c r="BL11" i="5"/>
  <c r="BM11" i="5"/>
  <c r="BN11" i="5"/>
  <c r="BO11" i="5"/>
  <c r="U12" i="5"/>
  <c r="AB12" i="5"/>
  <c r="AD12" i="5"/>
  <c r="AE12" i="5"/>
  <c r="AF12" i="5"/>
  <c r="AG12" i="5"/>
  <c r="AH12" i="5"/>
  <c r="AI12" i="5"/>
  <c r="AJ12" i="5"/>
  <c r="AR12" i="5"/>
  <c r="AT12" i="5"/>
  <c r="AU12" i="5"/>
  <c r="AV12" i="5"/>
  <c r="BI12" i="5"/>
  <c r="BJ12" i="5"/>
  <c r="BK12" i="5"/>
  <c r="BL12" i="5"/>
  <c r="BM12" i="5"/>
  <c r="BN12" i="5"/>
  <c r="BO12" i="5"/>
  <c r="U13" i="5"/>
  <c r="AB13" i="5"/>
  <c r="AD13" i="5"/>
  <c r="AE13" i="5"/>
  <c r="AF13" i="5"/>
  <c r="AG13" i="5"/>
  <c r="AH13" i="5"/>
  <c r="AI13" i="5"/>
  <c r="AJ13" i="5"/>
  <c r="AR13" i="5"/>
  <c r="AT13" i="5"/>
  <c r="AU13" i="5"/>
  <c r="AV13" i="5"/>
  <c r="BI13" i="5"/>
  <c r="BJ13" i="5"/>
  <c r="BK13" i="5"/>
  <c r="BL13" i="5"/>
  <c r="BM13" i="5"/>
  <c r="BN13" i="5"/>
  <c r="BO13" i="5"/>
  <c r="U14" i="5"/>
  <c r="AB14" i="5"/>
  <c r="AD14" i="5"/>
  <c r="AE14" i="5"/>
  <c r="AF14" i="5"/>
  <c r="AG14" i="5"/>
  <c r="AH14" i="5"/>
  <c r="AI14" i="5"/>
  <c r="AJ14" i="5"/>
  <c r="AR14" i="5"/>
  <c r="AT14" i="5"/>
  <c r="AU14" i="5"/>
  <c r="AV14" i="5"/>
  <c r="BI14" i="5"/>
  <c r="BJ14" i="5"/>
  <c r="BK14" i="5"/>
  <c r="BL14" i="5"/>
  <c r="BM14" i="5"/>
  <c r="BN14" i="5"/>
  <c r="BO14" i="5"/>
  <c r="U15" i="5"/>
  <c r="AB15" i="5"/>
  <c r="AD15" i="5"/>
  <c r="AE15" i="5"/>
  <c r="AF15" i="5"/>
  <c r="AG15" i="5"/>
  <c r="AH15" i="5"/>
  <c r="AI15" i="5"/>
  <c r="AJ15" i="5"/>
  <c r="AR15" i="5"/>
  <c r="AT15" i="5"/>
  <c r="AU15" i="5"/>
  <c r="AV15" i="5"/>
  <c r="BI15" i="5"/>
  <c r="BJ15" i="5"/>
  <c r="BK15" i="5"/>
  <c r="BL15" i="5"/>
  <c r="BM15" i="5"/>
  <c r="BN15" i="5"/>
  <c r="BO15" i="5"/>
  <c r="N16" i="5" a="1"/>
  <c r="N16" i="5"/>
  <c r="U16" i="5"/>
  <c r="AB16" i="5"/>
  <c r="AD16" i="5"/>
  <c r="AE16" i="5"/>
  <c r="AF16" i="5"/>
  <c r="AG16" i="5" a="1"/>
  <c r="AG16" i="5"/>
  <c r="AH16" i="5" a="1"/>
  <c r="AH16" i="5"/>
  <c r="AI16" i="5"/>
  <c r="AJ16" i="5"/>
  <c r="AK16" i="5"/>
  <c r="AL16" i="5"/>
  <c r="AM16" i="5"/>
  <c r="AN16" i="5"/>
  <c r="AP16" i="5"/>
  <c r="AQ16" i="5"/>
  <c r="AR16" i="5"/>
  <c r="AT16" i="5"/>
  <c r="AU16" i="5"/>
  <c r="AV16" i="5"/>
  <c r="AW16" i="5"/>
  <c r="AX16" i="5"/>
  <c r="AY16" i="5"/>
  <c r="BA16" i="5"/>
  <c r="BB16" i="5"/>
  <c r="BC16" i="5"/>
  <c r="BD16" i="5"/>
  <c r="BE16" i="5"/>
  <c r="BF16" i="5"/>
  <c r="BG16" i="5"/>
  <c r="BH16" i="5"/>
  <c r="BI16" i="5"/>
  <c r="BJ16" i="5"/>
  <c r="BK16" i="5"/>
  <c r="BL16" i="5"/>
  <c r="BM16" i="5"/>
  <c r="BN16" i="5"/>
  <c r="BO16" i="5"/>
  <c r="BP16" i="5"/>
  <c r="BQ16" i="5"/>
  <c r="BR16" i="5"/>
  <c r="U17" i="5"/>
  <c r="AB17" i="5"/>
  <c r="AD17" i="5"/>
  <c r="AE17" i="5"/>
  <c r="AF17" i="5"/>
  <c r="AG17" i="5"/>
  <c r="AH17" i="5"/>
  <c r="AI17" i="5"/>
  <c r="AJ17" i="5"/>
  <c r="AR17" i="5"/>
  <c r="AT17" i="5"/>
  <c r="AU17" i="5"/>
  <c r="AV17" i="5"/>
  <c r="BI17" i="5"/>
  <c r="BJ17" i="5"/>
  <c r="BK17" i="5"/>
  <c r="BL17" i="5"/>
  <c r="BM17" i="5"/>
  <c r="BN17" i="5"/>
  <c r="BO17" i="5"/>
  <c r="U18" i="5"/>
  <c r="AB18" i="5"/>
  <c r="AD18" i="5"/>
  <c r="AE18" i="5"/>
  <c r="AF18" i="5"/>
  <c r="AG18" i="5"/>
  <c r="AH18" i="5"/>
  <c r="AI18" i="5"/>
  <c r="AJ18" i="5"/>
  <c r="AR18" i="5"/>
  <c r="AT18" i="5"/>
  <c r="AU18" i="5"/>
  <c r="AV18" i="5"/>
  <c r="BI18" i="5"/>
  <c r="BJ18" i="5"/>
  <c r="BK18" i="5"/>
  <c r="BL18" i="5"/>
  <c r="BM18" i="5"/>
  <c r="BN18" i="5"/>
  <c r="BO18" i="5"/>
  <c r="U19" i="5"/>
  <c r="AB19" i="5"/>
  <c r="AD19" i="5"/>
  <c r="AE19" i="5"/>
  <c r="AF19" i="5"/>
  <c r="AG19" i="5"/>
  <c r="AH19" i="5"/>
  <c r="AI19" i="5"/>
  <c r="AJ19" i="5"/>
  <c r="AR19" i="5"/>
  <c r="AT19" i="5"/>
  <c r="AU19" i="5"/>
  <c r="AV19" i="5"/>
  <c r="BI19" i="5"/>
  <c r="BJ19" i="5"/>
  <c r="BK19" i="5"/>
  <c r="BL19" i="5"/>
  <c r="BM19" i="5"/>
  <c r="BN19" i="5"/>
  <c r="BO19" i="5"/>
  <c r="U20" i="5"/>
  <c r="AB20" i="5"/>
  <c r="AD20" i="5"/>
  <c r="AE20" i="5"/>
  <c r="AF20" i="5"/>
  <c r="AG20" i="5"/>
  <c r="AH20" i="5"/>
  <c r="AI20" i="5"/>
  <c r="AJ20" i="5"/>
  <c r="AR20" i="5"/>
  <c r="AT20" i="5"/>
  <c r="AU20" i="5"/>
  <c r="AV20" i="5"/>
  <c r="BI20" i="5"/>
  <c r="BJ20" i="5"/>
  <c r="BK20" i="5"/>
  <c r="BL20" i="5"/>
  <c r="BM20" i="5"/>
  <c r="BN20" i="5"/>
  <c r="BO20" i="5"/>
  <c r="N21" i="5" a="1"/>
  <c r="N21" i="5"/>
  <c r="U21" i="5"/>
  <c r="AB21" i="5"/>
  <c r="AD21" i="5"/>
  <c r="AE21" i="5"/>
  <c r="AF21" i="5"/>
  <c r="AG21" i="5" a="1"/>
  <c r="AG21" i="5"/>
  <c r="AH21" i="5" a="1"/>
  <c r="AH21" i="5"/>
  <c r="AI21" i="5"/>
  <c r="AJ21" i="5"/>
  <c r="AK21" i="5"/>
  <c r="AL21" i="5"/>
  <c r="AM21" i="5"/>
  <c r="AN21" i="5"/>
  <c r="AP21" i="5"/>
  <c r="AQ21" i="5"/>
  <c r="AR21" i="5"/>
  <c r="AT21" i="5"/>
  <c r="AU21" i="5"/>
  <c r="AV21" i="5"/>
  <c r="AW21" i="5"/>
  <c r="AX21" i="5"/>
  <c r="AY21" i="5"/>
  <c r="BA21" i="5"/>
  <c r="BB21" i="5"/>
  <c r="BC21" i="5"/>
  <c r="BD21" i="5"/>
  <c r="BE21" i="5"/>
  <c r="BF21" i="5"/>
  <c r="BG21" i="5"/>
  <c r="BH21" i="5"/>
  <c r="BI21" i="5"/>
  <c r="BJ21" i="5"/>
  <c r="BK21" i="5"/>
  <c r="BL21" i="5"/>
  <c r="BM21" i="5"/>
  <c r="BN21" i="5"/>
  <c r="BO21" i="5"/>
  <c r="BP21" i="5"/>
  <c r="BQ21" i="5"/>
  <c r="BR21" i="5"/>
  <c r="U22" i="5"/>
  <c r="AB22" i="5"/>
  <c r="AD22" i="5"/>
  <c r="AE22" i="5"/>
  <c r="AF22" i="5"/>
  <c r="AG22" i="5"/>
  <c r="AH22" i="5"/>
  <c r="AI22" i="5"/>
  <c r="AJ22" i="5"/>
  <c r="AR22" i="5"/>
  <c r="AT22" i="5"/>
  <c r="AU22" i="5"/>
  <c r="AV22" i="5"/>
  <c r="BI22" i="5"/>
  <c r="BJ22" i="5"/>
  <c r="BK22" i="5"/>
  <c r="BL22" i="5"/>
  <c r="BM22" i="5"/>
  <c r="BN22" i="5"/>
  <c r="BO22" i="5"/>
  <c r="U23" i="5"/>
  <c r="AB23" i="5"/>
  <c r="AD23" i="5"/>
  <c r="AE23" i="5"/>
  <c r="AF23" i="5"/>
  <c r="AG23" i="5"/>
  <c r="AH23" i="5"/>
  <c r="AI23" i="5"/>
  <c r="AJ23" i="5"/>
  <c r="AR23" i="5"/>
  <c r="AT23" i="5"/>
  <c r="AU23" i="5"/>
  <c r="AV23" i="5"/>
  <c r="BI23" i="5"/>
  <c r="BJ23" i="5"/>
  <c r="BK23" i="5"/>
  <c r="BL23" i="5"/>
  <c r="BM23" i="5"/>
  <c r="BN23" i="5"/>
  <c r="BO23" i="5"/>
  <c r="U24" i="5"/>
  <c r="AB24" i="5"/>
  <c r="AD24" i="5"/>
  <c r="AE24" i="5"/>
  <c r="AF24" i="5"/>
  <c r="AG24" i="5"/>
  <c r="AH24" i="5"/>
  <c r="AI24" i="5"/>
  <c r="AJ24" i="5"/>
  <c r="AR24" i="5"/>
  <c r="AT24" i="5"/>
  <c r="AU24" i="5"/>
  <c r="AV24" i="5"/>
  <c r="BI24" i="5"/>
  <c r="BJ24" i="5"/>
  <c r="BK24" i="5"/>
  <c r="BL24" i="5"/>
  <c r="BM24" i="5"/>
  <c r="BN24" i="5"/>
  <c r="BO24" i="5"/>
  <c r="U25" i="5"/>
  <c r="AB25" i="5"/>
  <c r="AD25" i="5"/>
  <c r="AE25" i="5"/>
  <c r="AF25" i="5"/>
  <c r="AG25" i="5"/>
  <c r="AH25" i="5"/>
  <c r="AI25" i="5"/>
  <c r="AJ25" i="5"/>
  <c r="AR25" i="5"/>
  <c r="AT25" i="5"/>
  <c r="AU25" i="5"/>
  <c r="AV25" i="5"/>
  <c r="BI25" i="5"/>
  <c r="BJ25" i="5"/>
  <c r="BK25" i="5"/>
  <c r="BL25" i="5"/>
  <c r="BM25" i="5"/>
  <c r="BN25" i="5"/>
  <c r="BO25" i="5"/>
  <c r="N26" i="5" a="1"/>
  <c r="N26" i="5"/>
  <c r="U26" i="5"/>
  <c r="AB26" i="5"/>
  <c r="AD26" i="5"/>
  <c r="AE26" i="5"/>
  <c r="AF26" i="5"/>
  <c r="AG26" i="5" a="1"/>
  <c r="AG26" i="5"/>
  <c r="AH26" i="5" a="1"/>
  <c r="AH26" i="5"/>
  <c r="AI26" i="5"/>
  <c r="AJ26" i="5"/>
  <c r="AK26" i="5"/>
  <c r="AL26" i="5"/>
  <c r="AM26" i="5"/>
  <c r="AN26" i="5"/>
  <c r="AP26" i="5"/>
  <c r="AQ26" i="5"/>
  <c r="AR26" i="5"/>
  <c r="AT26" i="5"/>
  <c r="AU26" i="5"/>
  <c r="AV26" i="5"/>
  <c r="AW26" i="5"/>
  <c r="AX26" i="5"/>
  <c r="AY26" i="5"/>
  <c r="BA26" i="5"/>
  <c r="BB26" i="5"/>
  <c r="BC26" i="5"/>
  <c r="BD26" i="5"/>
  <c r="BE26" i="5"/>
  <c r="BF26" i="5"/>
  <c r="BG26" i="5"/>
  <c r="BH26" i="5"/>
  <c r="BI26" i="5"/>
  <c r="BJ26" i="5"/>
  <c r="BK26" i="5"/>
  <c r="BL26" i="5"/>
  <c r="BM26" i="5"/>
  <c r="BN26" i="5"/>
  <c r="BO26" i="5"/>
  <c r="BP26" i="5"/>
  <c r="BQ26" i="5"/>
  <c r="BR26" i="5"/>
  <c r="U27" i="5"/>
  <c r="AB27" i="5"/>
  <c r="AD27" i="5"/>
  <c r="AE27" i="5"/>
  <c r="AF27" i="5"/>
  <c r="AG27" i="5"/>
  <c r="AH27" i="5"/>
  <c r="AI27" i="5"/>
  <c r="AJ27" i="5"/>
  <c r="AR27" i="5"/>
  <c r="AT27" i="5"/>
  <c r="AU27" i="5"/>
  <c r="AV27" i="5"/>
  <c r="BI27" i="5"/>
  <c r="BJ27" i="5"/>
  <c r="BK27" i="5"/>
  <c r="BL27" i="5"/>
  <c r="BM27" i="5"/>
  <c r="BN27" i="5"/>
  <c r="BO27" i="5"/>
  <c r="U28" i="5"/>
  <c r="AB28" i="5"/>
  <c r="AD28" i="5"/>
  <c r="AE28" i="5"/>
  <c r="AF28" i="5"/>
  <c r="AG28" i="5"/>
  <c r="AH28" i="5"/>
  <c r="AI28" i="5"/>
  <c r="AJ28" i="5"/>
  <c r="AR28" i="5"/>
  <c r="AT28" i="5"/>
  <c r="AU28" i="5"/>
  <c r="AV28" i="5"/>
  <c r="BI28" i="5"/>
  <c r="BJ28" i="5"/>
  <c r="BK28" i="5"/>
  <c r="BL28" i="5"/>
  <c r="BM28" i="5"/>
  <c r="BN28" i="5"/>
  <c r="BO28" i="5"/>
  <c r="U29" i="5"/>
  <c r="AB29" i="5"/>
  <c r="AD29" i="5"/>
  <c r="AE29" i="5"/>
  <c r="AF29" i="5"/>
  <c r="AG29" i="5"/>
  <c r="AH29" i="5"/>
  <c r="AI29" i="5"/>
  <c r="AJ29" i="5"/>
  <c r="AR29" i="5"/>
  <c r="AT29" i="5"/>
  <c r="AU29" i="5"/>
  <c r="AV29" i="5"/>
  <c r="BI29" i="5"/>
  <c r="BJ29" i="5"/>
  <c r="BK29" i="5"/>
  <c r="BL29" i="5"/>
  <c r="BM29" i="5"/>
  <c r="BN29" i="5"/>
  <c r="BO29" i="5"/>
  <c r="U30" i="5"/>
  <c r="AB30" i="5"/>
  <c r="AD30" i="5"/>
  <c r="AE30" i="5"/>
  <c r="AF30" i="5"/>
  <c r="AG30" i="5"/>
  <c r="AH30" i="5"/>
  <c r="AI30" i="5"/>
  <c r="AJ30" i="5"/>
  <c r="AR30" i="5"/>
  <c r="AT30" i="5"/>
  <c r="AU30" i="5"/>
  <c r="AV30" i="5"/>
  <c r="BI30" i="5"/>
  <c r="BJ30" i="5"/>
  <c r="BK30" i="5"/>
  <c r="BL30" i="5"/>
  <c r="BM30" i="5"/>
  <c r="BN30" i="5"/>
  <c r="BO30" i="5"/>
  <c r="N31" i="5" a="1"/>
  <c r="N31" i="5"/>
  <c r="U31" i="5"/>
  <c r="AB31" i="5"/>
  <c r="AD31" i="5"/>
  <c r="AE31" i="5"/>
  <c r="AF31" i="5"/>
  <c r="AG31" i="5" a="1"/>
  <c r="AG31" i="5"/>
  <c r="AH31" i="5" a="1"/>
  <c r="AH31" i="5"/>
  <c r="AI31" i="5"/>
  <c r="AJ31" i="5"/>
  <c r="AK31" i="5"/>
  <c r="AL31" i="5"/>
  <c r="AM31" i="5"/>
  <c r="AN31" i="5"/>
  <c r="AP31" i="5"/>
  <c r="AQ31" i="5"/>
  <c r="AR31" i="5"/>
  <c r="AT31" i="5"/>
  <c r="AU31" i="5"/>
  <c r="AV31" i="5"/>
  <c r="AW31" i="5"/>
  <c r="AX31" i="5"/>
  <c r="AY31" i="5"/>
  <c r="BA31" i="5"/>
  <c r="BB31" i="5"/>
  <c r="BC31" i="5"/>
  <c r="BD31" i="5"/>
  <c r="BE31" i="5"/>
  <c r="BF31" i="5"/>
  <c r="BG31" i="5"/>
  <c r="BH31" i="5"/>
  <c r="BI31" i="5"/>
  <c r="BJ31" i="5"/>
  <c r="BK31" i="5"/>
  <c r="BL31" i="5"/>
  <c r="BM31" i="5"/>
  <c r="BN31" i="5"/>
  <c r="BO31" i="5"/>
  <c r="BP31" i="5"/>
  <c r="BQ31" i="5"/>
  <c r="BR31" i="5"/>
  <c r="U32" i="5"/>
  <c r="AB32" i="5"/>
  <c r="AD32" i="5"/>
  <c r="AE32" i="5"/>
  <c r="AF32" i="5"/>
  <c r="AG32" i="5"/>
  <c r="AH32" i="5"/>
  <c r="AI32" i="5"/>
  <c r="AJ32" i="5"/>
  <c r="AR32" i="5"/>
  <c r="AT32" i="5"/>
  <c r="AU32" i="5"/>
  <c r="AV32" i="5"/>
  <c r="BI32" i="5"/>
  <c r="BJ32" i="5"/>
  <c r="BK32" i="5"/>
  <c r="BL32" i="5"/>
  <c r="BM32" i="5"/>
  <c r="BN32" i="5"/>
  <c r="BO32" i="5"/>
  <c r="U33" i="5"/>
  <c r="AB33" i="5"/>
  <c r="AD33" i="5"/>
  <c r="AE33" i="5"/>
  <c r="AF33" i="5"/>
  <c r="AG33" i="5"/>
  <c r="AH33" i="5"/>
  <c r="AI33" i="5"/>
  <c r="AJ33" i="5"/>
  <c r="AR33" i="5"/>
  <c r="AT33" i="5"/>
  <c r="AU33" i="5"/>
  <c r="AV33" i="5"/>
  <c r="BI33" i="5"/>
  <c r="BJ33" i="5"/>
  <c r="BK33" i="5"/>
  <c r="BL33" i="5"/>
  <c r="BM33" i="5"/>
  <c r="BN33" i="5"/>
  <c r="BO33" i="5"/>
  <c r="U34" i="5"/>
  <c r="AB34" i="5"/>
  <c r="AD34" i="5"/>
  <c r="AE34" i="5"/>
  <c r="AF34" i="5"/>
  <c r="AG34" i="5"/>
  <c r="AH34" i="5"/>
  <c r="AI34" i="5"/>
  <c r="AJ34" i="5"/>
  <c r="AR34" i="5"/>
  <c r="AT34" i="5"/>
  <c r="AU34" i="5"/>
  <c r="AV34" i="5"/>
  <c r="BI34" i="5"/>
  <c r="BJ34" i="5"/>
  <c r="BK34" i="5"/>
  <c r="BL34" i="5"/>
  <c r="BM34" i="5"/>
  <c r="BN34" i="5"/>
  <c r="BO34" i="5"/>
  <c r="U35" i="5"/>
  <c r="AB35" i="5"/>
  <c r="AD35" i="5"/>
  <c r="AE35" i="5"/>
  <c r="AF35" i="5"/>
  <c r="AG35" i="5"/>
  <c r="AH35" i="5"/>
  <c r="AI35" i="5"/>
  <c r="AJ35" i="5"/>
  <c r="AR35" i="5"/>
  <c r="AT35" i="5"/>
  <c r="AU35" i="5"/>
  <c r="AV35" i="5"/>
  <c r="BI35" i="5"/>
  <c r="BJ35" i="5"/>
  <c r="BK35" i="5"/>
  <c r="BL35" i="5"/>
  <c r="BM35" i="5"/>
  <c r="BN35" i="5"/>
  <c r="BO35" i="5"/>
  <c r="N36" i="5" a="1"/>
  <c r="N36" i="5"/>
  <c r="U36" i="5"/>
  <c r="AB36" i="5"/>
  <c r="AD36" i="5"/>
  <c r="AE36" i="5"/>
  <c r="AF36" i="5"/>
  <c r="AG36" i="5" a="1"/>
  <c r="AG36" i="5"/>
  <c r="AH36" i="5" a="1"/>
  <c r="AH36" i="5"/>
  <c r="AI36" i="5"/>
  <c r="AJ36" i="5"/>
  <c r="AK36" i="5"/>
  <c r="AL36" i="5"/>
  <c r="AM36" i="5"/>
  <c r="AN36" i="5"/>
  <c r="AP36" i="5"/>
  <c r="AQ36" i="5"/>
  <c r="AR36" i="5"/>
  <c r="AT36" i="5"/>
  <c r="AU36" i="5"/>
  <c r="AV36" i="5"/>
  <c r="AW36" i="5"/>
  <c r="AX36" i="5"/>
  <c r="AY36" i="5"/>
  <c r="BA36" i="5"/>
  <c r="BB36" i="5"/>
  <c r="BC36" i="5"/>
  <c r="BD36" i="5"/>
  <c r="BE36" i="5"/>
  <c r="BF36" i="5"/>
  <c r="BG36" i="5"/>
  <c r="BH36" i="5"/>
  <c r="BI36" i="5"/>
  <c r="BJ36" i="5"/>
  <c r="BK36" i="5"/>
  <c r="BL36" i="5"/>
  <c r="BM36" i="5"/>
  <c r="BN36" i="5"/>
  <c r="BO36" i="5"/>
  <c r="BP36" i="5"/>
  <c r="BQ36" i="5"/>
  <c r="BR36" i="5"/>
  <c r="U37" i="5"/>
  <c r="AB37" i="5"/>
  <c r="AD37" i="5"/>
  <c r="AE37" i="5"/>
  <c r="AF37" i="5"/>
  <c r="AG37" i="5"/>
  <c r="AH37" i="5"/>
  <c r="AI37" i="5"/>
  <c r="AJ37" i="5"/>
  <c r="AR37" i="5"/>
  <c r="AT37" i="5"/>
  <c r="AU37" i="5"/>
  <c r="AV37" i="5"/>
  <c r="BI37" i="5"/>
  <c r="BJ37" i="5"/>
  <c r="BK37" i="5"/>
  <c r="BL37" i="5"/>
  <c r="BM37" i="5"/>
  <c r="BN37" i="5"/>
  <c r="BO37" i="5"/>
  <c r="U38" i="5"/>
  <c r="AB38" i="5"/>
  <c r="AD38" i="5"/>
  <c r="AE38" i="5"/>
  <c r="AF38" i="5"/>
  <c r="AG38" i="5"/>
  <c r="AH38" i="5"/>
  <c r="AI38" i="5"/>
  <c r="AJ38" i="5"/>
  <c r="AR38" i="5"/>
  <c r="AT38" i="5"/>
  <c r="AU38" i="5"/>
  <c r="AV38" i="5"/>
  <c r="BI38" i="5"/>
  <c r="BJ38" i="5"/>
  <c r="BK38" i="5"/>
  <c r="BL38" i="5"/>
  <c r="BM38" i="5"/>
  <c r="BN38" i="5"/>
  <c r="BO38" i="5"/>
  <c r="U39" i="5"/>
  <c r="AB39" i="5"/>
  <c r="AD39" i="5"/>
  <c r="AE39" i="5"/>
  <c r="AF39" i="5"/>
  <c r="AG39" i="5"/>
  <c r="AH39" i="5"/>
  <c r="AI39" i="5"/>
  <c r="AJ39" i="5"/>
  <c r="AR39" i="5"/>
  <c r="AT39" i="5"/>
  <c r="AU39" i="5"/>
  <c r="AV39" i="5"/>
  <c r="BI39" i="5"/>
  <c r="BJ39" i="5"/>
  <c r="BK39" i="5"/>
  <c r="BL39" i="5"/>
  <c r="BM39" i="5"/>
  <c r="BN39" i="5"/>
  <c r="BO39" i="5"/>
  <c r="U40" i="5"/>
  <c r="AB40" i="5"/>
  <c r="AD40" i="5"/>
  <c r="AE40" i="5"/>
  <c r="AF40" i="5"/>
  <c r="AG40" i="5"/>
  <c r="AH40" i="5"/>
  <c r="AI40" i="5"/>
  <c r="AJ40" i="5"/>
  <c r="AR40" i="5"/>
  <c r="AT40" i="5"/>
  <c r="AU40" i="5"/>
  <c r="AV40" i="5"/>
  <c r="BI40" i="5"/>
  <c r="BJ40" i="5"/>
  <c r="BK40" i="5"/>
  <c r="BL40" i="5"/>
  <c r="BM40" i="5"/>
  <c r="BN40" i="5"/>
  <c r="BO40" i="5"/>
  <c r="I48" i="5" a="1"/>
  <c r="I48" i="5"/>
  <c r="J48" i="5" a="1"/>
  <c r="J48" i="5"/>
  <c r="I49" i="5" a="1"/>
  <c r="I49" i="5"/>
  <c r="J49" i="5" a="1"/>
  <c r="J49" i="5"/>
  <c r="I50" i="5" a="1"/>
  <c r="I50" i="5"/>
  <c r="J50" i="5" a="1"/>
  <c r="J50" i="5"/>
  <c r="I51" i="5" a="1"/>
  <c r="I51" i="5"/>
  <c r="J51" i="5" a="1"/>
  <c r="J51" i="5"/>
  <c r="I52" i="5" a="1"/>
  <c r="I52" i="5"/>
  <c r="J52" i="5" a="1"/>
  <c r="J52" i="5"/>
  <c r="I53" i="5" a="1"/>
  <c r="I53" i="5"/>
  <c r="J53" i="5" a="1"/>
  <c r="J53" i="5"/>
  <c r="I54" i="5" a="1"/>
  <c r="I54" i="5"/>
  <c r="J54" i="5" a="1"/>
  <c r="J5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<sst xmlns="http://schemas.openxmlformats.org/spreadsheetml/2006/main" count="381" uniqueCount="228">
  <si>
    <t>Pt. gage</t>
  </si>
  <si>
    <t>offset</t>
  </si>
  <si>
    <t>floor</t>
  </si>
  <si>
    <t>joint elev.</t>
  </si>
  <si>
    <t>b</t>
  </si>
  <si>
    <t>Q</t>
  </si>
  <si>
    <t>ft</t>
  </si>
  <si>
    <t>inches</t>
  </si>
  <si>
    <t>cm</t>
  </si>
  <si>
    <t>Pitot diameter</t>
  </si>
  <si>
    <t>inch</t>
  </si>
  <si>
    <t>x</t>
  </si>
  <si>
    <t>del</t>
  </si>
  <si>
    <t>del/x</t>
  </si>
  <si>
    <t>Raw Pitot Head, ft</t>
  </si>
  <si>
    <t>Velocity, ft/s</t>
  </si>
  <si>
    <t>y, inches</t>
  </si>
  <si>
    <t>Plots of velocity data from pitot tube measurements over open gap</t>
  </si>
  <si>
    <t>capillary rise correction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</si>
  <si>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 at pitot</t>
    </r>
  </si>
  <si>
    <t>Bed Elev. At Pitot tip, ft</t>
  </si>
  <si>
    <t>theta</t>
  </si>
  <si>
    <t>Depth, ft</t>
  </si>
  <si>
    <t>FROM SEPARATE CURVE FIT</t>
  </si>
  <si>
    <t>Uplift Flume Data</t>
  </si>
  <si>
    <t>Correction for Pitot calibration</t>
  </si>
  <si>
    <t>Formula for average velocity in offset-height layer</t>
  </si>
  <si>
    <t>coeff</t>
  </si>
  <si>
    <t>include friction loss?</t>
  </si>
  <si>
    <t>X variable</t>
  </si>
  <si>
    <t>Y variable</t>
  </si>
  <si>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1/(1+a</t>
    </r>
    <r>
      <rPr>
        <b/>
        <sz val="11"/>
        <color theme="1"/>
        <rFont val="Symbol"/>
        <family val="1"/>
        <charset val="2"/>
      </rPr>
      <t>b</t>
    </r>
    <r>
      <rPr>
        <b/>
        <sz val="11"/>
        <color theme="1"/>
        <rFont val="Calibri"/>
        <family val="2"/>
        <scheme val="minor"/>
      </rPr>
      <t>)</t>
    </r>
  </si>
  <si>
    <r>
      <t>exponent on N (the velocity profile exponent, V=y</t>
    </r>
    <r>
      <rPr>
        <vertAlign val="superscript"/>
        <sz val="11"/>
        <color theme="1"/>
        <rFont val="Calibri"/>
        <family val="2"/>
        <scheme val="minor"/>
      </rPr>
      <t>1/N</t>
    </r>
    <r>
      <rPr>
        <sz val="11"/>
        <color theme="1"/>
        <rFont val="Calibri"/>
        <family val="2"/>
        <scheme val="minor"/>
      </rPr>
      <t>)</t>
    </r>
  </si>
  <si>
    <r>
      <t>(1+a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>) term</t>
    </r>
  </si>
  <si>
    <t>Capillary rise in 3/16-inch manometer tubes</t>
  </si>
  <si>
    <r>
      <t xml:space="preserve">( </t>
    </r>
    <r>
      <rPr>
        <b/>
        <sz val="11"/>
        <color theme="1"/>
        <rFont val="Calibri"/>
        <family val="2"/>
        <scheme val="minor"/>
      </rPr>
      <t>d:\tlw\algorithms\capillary rise.xlsx</t>
    </r>
    <r>
      <rPr>
        <sz val="11"/>
        <color theme="1"/>
        <rFont val="Calibri"/>
        <family val="2"/>
        <scheme val="minor"/>
      </rPr>
      <t xml:space="preserve"> )</t>
    </r>
  </si>
  <si>
    <t>3/8 tube is 0.0102 ft.</t>
  </si>
  <si>
    <t>viscosity</t>
  </si>
  <si>
    <r>
      <t>ft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/s</t>
    </r>
  </si>
  <si>
    <t>rugosity, ft</t>
  </si>
  <si>
    <t>exponent on chosen X/Y variable</t>
  </si>
  <si>
    <t>Upstream edge of gap, elev.</t>
  </si>
  <si>
    <t>% of height?</t>
  </si>
  <si>
    <t>e</t>
  </si>
  <si>
    <t>slot width</t>
  </si>
  <si>
    <t>exponent</t>
  </si>
  <si>
    <r>
      <t xml:space="preserve">exponent on </t>
    </r>
    <r>
      <rPr>
        <sz val="11"/>
        <color theme="1"/>
        <rFont val="Symbol"/>
        <family val="1"/>
        <charset val="2"/>
      </rPr>
      <t>b</t>
    </r>
  </si>
  <si>
    <t>Flume slope</t>
  </si>
  <si>
    <t>degrees</t>
  </si>
  <si>
    <t>q =</t>
  </si>
  <si>
    <t>radians</t>
  </si>
  <si>
    <t>X</t>
  </si>
  <si>
    <r>
      <t>multiplier "a" in EXP(a</t>
    </r>
    <r>
      <rPr>
        <sz val="11"/>
        <color rgb="FF9C5700"/>
        <rFont val="Symbol"/>
        <family val="1"/>
        <charset val="2"/>
      </rPr>
      <t>b</t>
    </r>
    <r>
      <rPr>
        <sz val="11"/>
        <color rgb="FF9C5700"/>
        <rFont val="Calibri"/>
        <family val="2"/>
        <scheme val="minor"/>
      </rPr>
      <t>) in X or Y variable</t>
    </r>
  </si>
  <si>
    <t>Upper / lower manometer board offset</t>
  </si>
  <si>
    <t>uses avg. V if 0%</t>
  </si>
  <si>
    <r>
      <t xml:space="preserve">         </t>
    </r>
    <r>
      <rPr>
        <u/>
        <sz val="11"/>
        <color theme="1"/>
        <rFont val="Calibri"/>
        <family val="2"/>
        <scheme val="minor"/>
      </rPr>
      <t>Detached jet</t>
    </r>
  </si>
  <si>
    <t>Assuming uniform flow</t>
  </si>
  <si>
    <t>Results of log curve fit, y=</t>
  </si>
  <si>
    <t>(depth/offset)</t>
  </si>
  <si>
    <t>(gap/depth)</t>
  </si>
  <si>
    <t>Fr</t>
  </si>
  <si>
    <t>F*</t>
  </si>
  <si>
    <r>
      <t>Fr*</t>
    </r>
    <r>
      <rPr>
        <vertAlign val="subscript"/>
        <sz val="11"/>
        <color theme="1"/>
        <rFont val="Calibri"/>
        <family val="2"/>
        <scheme val="minor"/>
      </rPr>
      <t>V</t>
    </r>
  </si>
  <si>
    <r>
      <t>Fr*</t>
    </r>
    <r>
      <rPr>
        <vertAlign val="subscript"/>
        <sz val="11"/>
        <color theme="1"/>
        <rFont val="Calibri"/>
        <family val="2"/>
        <scheme val="minor"/>
      </rPr>
      <t>Vstag</t>
    </r>
  </si>
  <si>
    <r>
      <t>h</t>
    </r>
    <r>
      <rPr>
        <i/>
        <vertAlign val="subscript"/>
        <sz val="11"/>
        <color theme="1"/>
        <rFont val="Calibri"/>
        <family val="2"/>
        <scheme val="minor"/>
      </rPr>
      <t>v</t>
    </r>
  </si>
  <si>
    <r>
      <t>V</t>
    </r>
    <r>
      <rPr>
        <vertAlign val="subscript"/>
        <sz val="11"/>
        <color theme="1"/>
        <rFont val="Calibri"/>
        <family val="2"/>
        <scheme val="minor"/>
      </rPr>
      <t>offset,avg</t>
    </r>
  </si>
  <si>
    <t>h/(Y-h)</t>
  </si>
  <si>
    <t>s/(Y-h)</t>
  </si>
  <si>
    <r>
      <t>Uplift / H</t>
    </r>
    <r>
      <rPr>
        <vertAlign val="subscript"/>
        <sz val="11"/>
        <color theme="1"/>
        <rFont val="Calibri"/>
        <family val="2"/>
        <scheme val="minor"/>
      </rPr>
      <t>v,avg</t>
    </r>
  </si>
  <si>
    <r>
      <t>y</t>
    </r>
    <r>
      <rPr>
        <vertAlign val="subscript"/>
        <sz val="11"/>
        <color theme="1"/>
        <rFont val="Calibri"/>
        <family val="2"/>
        <scheme val="minor"/>
      </rPr>
      <t>stag</t>
    </r>
    <r>
      <rPr>
        <sz val="11"/>
        <color theme="1"/>
        <rFont val="Calibri"/>
        <family val="2"/>
        <scheme val="minor"/>
      </rPr>
      <t>/offset</t>
    </r>
  </si>
  <si>
    <r>
      <t>y</t>
    </r>
    <r>
      <rPr>
        <vertAlign val="subscript"/>
        <sz val="11"/>
        <color theme="1"/>
        <rFont val="Calibri"/>
        <family val="2"/>
        <scheme val="minor"/>
      </rPr>
      <t>stag</t>
    </r>
    <r>
      <rPr>
        <sz val="11"/>
        <color theme="1"/>
        <rFont val="Calibri"/>
        <family val="2"/>
        <scheme val="minor"/>
      </rPr>
      <t>/y</t>
    </r>
  </si>
  <si>
    <r>
      <t>y/y</t>
    </r>
    <r>
      <rPr>
        <vertAlign val="subscript"/>
        <sz val="11"/>
        <color theme="1"/>
        <rFont val="Calibri"/>
        <family val="2"/>
        <scheme val="minor"/>
      </rPr>
      <t>stag</t>
    </r>
    <r>
      <rPr>
        <sz val="11"/>
        <color theme="1"/>
        <rFont val="Calibri"/>
        <family val="2"/>
        <scheme val="minor"/>
      </rPr>
      <t xml:space="preserve"> - 1</t>
    </r>
  </si>
  <si>
    <r>
      <t>y</t>
    </r>
    <r>
      <rPr>
        <vertAlign val="subscript"/>
        <sz val="11"/>
        <color theme="1"/>
        <rFont val="Calibri"/>
        <family val="2"/>
        <scheme val="minor"/>
      </rPr>
      <t>stag</t>
    </r>
  </si>
  <si>
    <t>uses stagnation V if 200%</t>
  </si>
  <si>
    <r>
      <t>Re</t>
    </r>
    <r>
      <rPr>
        <vertAlign val="subscript"/>
        <sz val="11"/>
        <color theme="1"/>
        <rFont val="Calibri"/>
        <family val="2"/>
        <scheme val="minor"/>
      </rPr>
      <t>4Rh</t>
    </r>
  </si>
  <si>
    <r>
      <t>Re</t>
    </r>
    <r>
      <rPr>
        <vertAlign val="subscript"/>
        <sz val="11"/>
        <color theme="1"/>
        <rFont val="Calibri"/>
        <family val="2"/>
        <scheme val="minor"/>
      </rPr>
      <t>offset</t>
    </r>
  </si>
  <si>
    <t>f
(Colebrook-White)</t>
  </si>
  <si>
    <r>
      <t>(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 / h</t>
    </r>
    <r>
      <rPr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*)(1+a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>)</t>
    </r>
  </si>
  <si>
    <t>Orifice discharge coefficient</t>
  </si>
  <si>
    <t>formula for simple Vgap/Vchute      =CG24/(I24/2/AI24)</t>
  </si>
  <si>
    <t>AL</t>
  </si>
  <si>
    <t>BR</t>
  </si>
  <si>
    <t>Date</t>
  </si>
  <si>
    <t>Time</t>
  </si>
  <si>
    <t>Capillary rise</t>
  </si>
  <si>
    <t>Flow State</t>
  </si>
  <si>
    <t>Venturi</t>
  </si>
  <si>
    <t>K2</t>
  </si>
  <si>
    <r>
      <t xml:space="preserve">Venturi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</si>
  <si>
    <t>Offset height, h</t>
  </si>
  <si>
    <t>Gap width, s</t>
  </si>
  <si>
    <t>Gap flow path length</t>
  </si>
  <si>
    <t>Pt. gage at bed contact</t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</si>
  <si>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of log(y) vs. log(v)</t>
    </r>
  </si>
  <si>
    <t>Pitot tube carrier elev.</t>
  </si>
  <si>
    <t>Pitot dynamic port distance above floor (normal to…)</t>
  </si>
  <si>
    <t>Overlay bed elev.</t>
  </si>
  <si>
    <t>Pitot dynamic head, raw</t>
  </si>
  <si>
    <t>ATTACHED JET
Uplift head, raw</t>
  </si>
  <si>
    <t>ATTACHED JET
Uplift head, net</t>
  </si>
  <si>
    <t>Uplift head, raw</t>
  </si>
  <si>
    <t>Uplift head, net</t>
  </si>
  <si>
    <t>Probe tip distance u/s from face of offset</t>
  </si>
  <si>
    <t>Bed elev. at dynamic port</t>
  </si>
  <si>
    <t>Distance from u/s edge of chamber to upstream edge of joint (for joints in midst of foam inserts)</t>
  </si>
  <si>
    <t>Elev. of u/s face of offset (@ invert)</t>
  </si>
  <si>
    <r>
      <t>V correction for lateral profile
V</t>
    </r>
    <r>
      <rPr>
        <vertAlign val="subscript"/>
        <sz val="11"/>
        <color theme="1"/>
        <rFont val="Calibri"/>
        <family val="2"/>
        <scheme val="minor"/>
      </rPr>
      <t>mean</t>
    </r>
    <r>
      <rPr>
        <sz val="11"/>
        <color theme="1"/>
        <rFont val="Calibri"/>
        <family val="2"/>
        <scheme val="minor"/>
      </rPr>
      <t>/V</t>
    </r>
    <r>
      <rPr>
        <vertAlign val="subscript"/>
        <sz val="11"/>
        <color theme="1"/>
        <rFont val="Calibri"/>
        <family val="2"/>
        <scheme val="minor"/>
      </rPr>
      <t>CL</t>
    </r>
  </si>
  <si>
    <t>Velocity at pitot tube</t>
  </si>
  <si>
    <t>Velocity head at joint</t>
  </si>
  <si>
    <t>Velocity at joint</t>
  </si>
  <si>
    <t>a (multiplier)</t>
  </si>
  <si>
    <t>b (power)</t>
  </si>
  <si>
    <t>Y</t>
  </si>
  <si>
    <t>y/h</t>
  </si>
  <si>
    <t>s/y</t>
  </si>
  <si>
    <r>
      <t>V</t>
    </r>
    <r>
      <rPr>
        <vertAlign val="subscript"/>
        <sz val="11"/>
        <color theme="1"/>
        <rFont val="Calibri"/>
        <family val="2"/>
        <scheme val="minor"/>
      </rPr>
      <t>avg</t>
    </r>
    <r>
      <rPr>
        <sz val="11"/>
        <color theme="1"/>
        <rFont val="Calibri"/>
        <family val="2"/>
        <scheme val="minor"/>
      </rPr>
      <t>(Y)</t>
    </r>
  </si>
  <si>
    <t>Avg. stagnation pressure head</t>
  </si>
  <si>
    <t>offset, ft</t>
  </si>
  <si>
    <t>V at X%-height of offset</t>
  </si>
  <si>
    <t>Stagnation pressure head at mid-height of offset</t>
  </si>
  <si>
    <t>Fitted V</t>
  </si>
  <si>
    <t>% of mean velocity head</t>
  </si>
  <si>
    <r>
      <t xml:space="preserve">Gap width ratio, </t>
    </r>
    <r>
      <rPr>
        <sz val="11"/>
        <color theme="1"/>
        <rFont val="Symbol"/>
        <family val="1"/>
        <charset val="2"/>
      </rPr>
      <t>b</t>
    </r>
  </si>
  <si>
    <t>Effective stagnation height, as % of offset</t>
  </si>
  <si>
    <t>Effective stagnation height, as % of depth</t>
  </si>
  <si>
    <r>
      <t xml:space="preserve">Squared errors, </t>
    </r>
    <r>
      <rPr>
        <sz val="11"/>
        <color rgb="FF006100"/>
        <rFont val="Symbol"/>
        <family val="1"/>
        <charset val="2"/>
      </rPr>
      <t>D</t>
    </r>
    <r>
      <rPr>
        <sz val="11"/>
        <color rgb="FF006100"/>
        <rFont val="Calibri"/>
        <family val="2"/>
        <scheme val="minor"/>
      </rPr>
      <t>H observed vs. Wahl et al. (2019) improved Eq. 9), as % of velocity head</t>
    </r>
  </si>
  <si>
    <r>
      <t>V</t>
    </r>
    <r>
      <rPr>
        <vertAlign val="subscript"/>
        <sz val="11"/>
        <color theme="1"/>
        <rFont val="Calibri"/>
        <family val="2"/>
        <scheme val="minor"/>
      </rPr>
      <t>ref</t>
    </r>
    <r>
      <rPr>
        <sz val="11"/>
        <color theme="1"/>
        <rFont val="Calibri"/>
        <family val="2"/>
        <scheme val="minor"/>
      </rPr>
      <t xml:space="preserve"> for Re</t>
    </r>
  </si>
  <si>
    <t>f</t>
  </si>
  <si>
    <t>depth, Y</t>
  </si>
  <si>
    <t>Y*</t>
  </si>
  <si>
    <r>
      <t>V</t>
    </r>
    <r>
      <rPr>
        <vertAlign val="subscript"/>
        <sz val="11"/>
        <color theme="1"/>
        <rFont val="Calibri"/>
        <family val="2"/>
        <scheme val="minor"/>
      </rPr>
      <t>avg</t>
    </r>
  </si>
  <si>
    <t>V*</t>
  </si>
  <si>
    <t>u*</t>
  </si>
  <si>
    <t>Thickness of viscous sublayer</t>
  </si>
  <si>
    <r>
      <t>yu*/</t>
    </r>
    <r>
      <rPr>
        <sz val="11"/>
        <color theme="1"/>
        <rFont val="Symbol"/>
        <family val="1"/>
        <charset val="2"/>
      </rPr>
      <t>n</t>
    </r>
    <r>
      <rPr>
        <sz val="11"/>
        <color theme="1"/>
        <rFont val="Calibri"/>
        <family val="2"/>
        <scheme val="minor"/>
      </rPr>
      <t xml:space="preserve"> at offset</t>
    </r>
  </si>
  <si>
    <r>
      <rPr>
        <sz val="22"/>
        <color theme="1"/>
        <rFont val="Symbol"/>
        <family val="1"/>
        <charset val="2"/>
      </rPr>
      <t>a</t>
    </r>
  </si>
  <si>
    <r>
      <rPr>
        <sz val="22"/>
        <color theme="1"/>
        <rFont val="Symbol"/>
        <family val="1"/>
        <charset val="2"/>
      </rPr>
      <t>a</t>
    </r>
    <r>
      <rPr>
        <sz val="22"/>
        <color theme="1"/>
        <rFont val="Calibri"/>
        <family val="2"/>
        <scheme val="minor"/>
      </rPr>
      <t>*</t>
    </r>
  </si>
  <si>
    <t>% of offset-height velocity head</t>
  </si>
  <si>
    <t>Chamber back-pressure, raw</t>
  </si>
  <si>
    <t>Chamber back-pressure, net</t>
  </si>
  <si>
    <t>V-notch weir head</t>
  </si>
  <si>
    <t>V-notch weir zero</t>
  </si>
  <si>
    <r>
      <t>V-weir, h</t>
    </r>
    <r>
      <rPr>
        <vertAlign val="subscript"/>
        <sz val="11"/>
        <color theme="1"/>
        <rFont val="Calibri"/>
        <family val="2"/>
        <scheme val="minor"/>
      </rPr>
      <t>1</t>
    </r>
  </si>
  <si>
    <r>
      <t>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/P</t>
    </r>
  </si>
  <si>
    <r>
      <t>C</t>
    </r>
    <r>
      <rPr>
        <vertAlign val="subscript"/>
        <sz val="11"/>
        <color theme="1"/>
        <rFont val="Calibri"/>
        <family val="2"/>
        <scheme val="minor"/>
      </rPr>
      <t>e</t>
    </r>
  </si>
  <si>
    <t>Crack-flow</t>
  </si>
  <si>
    <t>Net head across crack (sealed uplift pressure + depth*cos(theta) - vented backpressure - friction loss)</t>
  </si>
  <si>
    <t>SLOT WIDTH</t>
  </si>
  <si>
    <r>
      <t xml:space="preserve">Experimental crack-flow discharge coefficient, </t>
    </r>
    <r>
      <rPr>
        <sz val="20"/>
        <color theme="1"/>
        <rFont val="Calibri"/>
        <family val="2"/>
        <scheme val="minor"/>
      </rPr>
      <t>C</t>
    </r>
    <r>
      <rPr>
        <vertAlign val="subscript"/>
        <sz val="20"/>
        <color theme="1"/>
        <rFont val="Calibri"/>
        <family val="2"/>
        <scheme val="minor"/>
      </rPr>
      <t>d</t>
    </r>
  </si>
  <si>
    <r>
      <t>1/C</t>
    </r>
    <r>
      <rPr>
        <vertAlign val="sub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- 1</t>
    </r>
  </si>
  <si>
    <r>
      <t>Fit of C</t>
    </r>
    <r>
      <rPr>
        <vertAlign val="subscript"/>
        <sz val="11"/>
        <color theme="1"/>
        <rFont val="Calibri"/>
        <family val="2"/>
        <scheme val="minor"/>
      </rPr>
      <t>d</t>
    </r>
  </si>
  <si>
    <r>
      <t>Re</t>
    </r>
    <r>
      <rPr>
        <vertAlign val="subscript"/>
        <sz val="11"/>
        <color theme="1"/>
        <rFont val="Calibri"/>
        <family val="2"/>
        <scheme val="minor"/>
      </rPr>
      <t>gap</t>
    </r>
  </si>
  <si>
    <r>
      <t>V</t>
    </r>
    <r>
      <rPr>
        <vertAlign val="subscript"/>
        <sz val="11"/>
        <color theme="1"/>
        <rFont val="Calibri"/>
        <family val="2"/>
        <scheme val="minor"/>
      </rPr>
      <t>gap</t>
    </r>
  </si>
  <si>
    <r>
      <t>V</t>
    </r>
    <r>
      <rPr>
        <i/>
        <vertAlign val="subscript"/>
        <sz val="11"/>
        <color theme="1"/>
        <rFont val="Calibri"/>
        <family val="2"/>
        <scheme val="minor"/>
      </rPr>
      <t>head</t>
    </r>
  </si>
  <si>
    <r>
      <rPr>
        <sz val="11"/>
        <color theme="1"/>
        <rFont val="Calibri"/>
        <family val="2"/>
        <scheme val="minor"/>
      </rPr>
      <t xml:space="preserve">Estimated smooth-pipe friction factor
</t>
    </r>
    <r>
      <rPr>
        <i/>
        <sz val="11"/>
        <color theme="1"/>
        <rFont val="Calibri"/>
        <family val="2"/>
        <scheme val="minor"/>
      </rPr>
      <t>f</t>
    </r>
  </si>
  <si>
    <r>
      <t>Estimated friction loss
[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L/(4R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)]V</t>
    </r>
    <r>
      <rPr>
        <vertAlign val="subscript"/>
        <sz val="11"/>
        <color theme="1"/>
        <rFont val="Calibri"/>
        <family val="2"/>
        <scheme val="minor"/>
      </rPr>
      <t>head</t>
    </r>
  </si>
  <si>
    <t>Estimated
Entrance loss coeff.</t>
  </si>
  <si>
    <t>Head on crack / mean velocity head</t>
  </si>
  <si>
    <t>Head on crack / B.L. velocity head</t>
  </si>
  <si>
    <t>Head on crack / flow depth</t>
  </si>
  <si>
    <r>
      <t>V</t>
    </r>
    <r>
      <rPr>
        <vertAlign val="subscript"/>
        <sz val="11"/>
        <color theme="1"/>
        <rFont val="Calibri"/>
        <family val="2"/>
        <scheme val="minor"/>
      </rPr>
      <t>gap</t>
    </r>
    <r>
      <rPr>
        <sz val="11"/>
        <color theme="1"/>
        <rFont val="Calibri"/>
        <family val="2"/>
        <scheme val="minor"/>
      </rPr>
      <t>/V</t>
    </r>
    <r>
      <rPr>
        <vertAlign val="subscript"/>
        <sz val="11"/>
        <color theme="1"/>
        <rFont val="Calibri"/>
        <family val="2"/>
        <scheme val="minor"/>
      </rPr>
      <t>chute</t>
    </r>
  </si>
  <si>
    <r>
      <t>V</t>
    </r>
    <r>
      <rPr>
        <vertAlign val="subscript"/>
        <sz val="11"/>
        <color theme="1"/>
        <rFont val="Calibri"/>
        <family val="2"/>
        <scheme val="minor"/>
      </rPr>
      <t>gap</t>
    </r>
    <r>
      <rPr>
        <sz val="11"/>
        <color theme="1"/>
        <rFont val="Calibri"/>
        <family val="2"/>
        <scheme val="minor"/>
      </rPr>
      <t>/V</t>
    </r>
    <r>
      <rPr>
        <vertAlign val="subscript"/>
        <sz val="11"/>
        <color theme="1"/>
        <rFont val="Calibri"/>
        <family val="2"/>
        <scheme val="minor"/>
      </rPr>
      <t>chute</t>
    </r>
    <r>
      <rPr>
        <sz val="11"/>
        <color theme="1"/>
        <rFont val="Calibri"/>
        <family val="2"/>
        <scheme val="minor"/>
      </rPr>
      <t>*</t>
    </r>
  </si>
  <si>
    <r>
      <t>v</t>
    </r>
    <r>
      <rPr>
        <vertAlign val="subscript"/>
        <sz val="11"/>
        <color theme="1"/>
        <rFont val="Calibri"/>
        <family val="2"/>
        <scheme val="minor"/>
      </rPr>
      <t>gap</t>
    </r>
    <r>
      <rPr>
        <sz val="11"/>
        <color theme="1"/>
        <rFont val="Calibri"/>
        <family val="2"/>
        <scheme val="minor"/>
      </rPr>
      <t>/v</t>
    </r>
    <r>
      <rPr>
        <vertAlign val="subscript"/>
        <sz val="11"/>
        <color theme="1"/>
        <rFont val="Calibri"/>
        <family val="2"/>
        <scheme val="minor"/>
      </rPr>
      <t>stag</t>
    </r>
  </si>
  <si>
    <t>Natural flow condition</t>
  </si>
  <si>
    <t>Joint skew angle</t>
  </si>
  <si>
    <t>Joint tilt angle</t>
  </si>
  <si>
    <t>paired (High and Low Fr tests at same q)</t>
  </si>
  <si>
    <t>Indirect X</t>
  </si>
  <si>
    <t>Indirect Y (AY or BR)</t>
  </si>
  <si>
    <t>predicted "b"</t>
  </si>
  <si>
    <t>predicted "c"</t>
  </si>
  <si>
    <r>
      <t xml:space="preserve">predicted 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/</t>
    </r>
    <r>
      <rPr>
        <i/>
        <sz val="11"/>
        <color theme="1"/>
        <rFont val="Calibri"/>
        <family val="2"/>
        <scheme val="minor"/>
      </rPr>
      <t>h</t>
    </r>
    <r>
      <rPr>
        <i/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*</t>
    </r>
  </si>
  <si>
    <r>
      <t xml:space="preserve">additional 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/</t>
    </r>
    <r>
      <rPr>
        <i/>
        <sz val="11"/>
        <color theme="1"/>
        <rFont val="Calibri"/>
        <family val="2"/>
        <scheme val="minor"/>
      </rPr>
      <t>h</t>
    </r>
    <r>
      <rPr>
        <i/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* due to detachment</t>
    </r>
  </si>
  <si>
    <r>
      <t xml:space="preserve">Predicted detached 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</si>
  <si>
    <r>
      <t xml:space="preserve">Observed detached 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</si>
  <si>
    <t>mm</t>
  </si>
  <si>
    <t>cfs</t>
  </si>
  <si>
    <t>in.</t>
  </si>
  <si>
    <t>ft/s</t>
  </si>
  <si>
    <t>-</t>
  </si>
  <si>
    <t>%</t>
  </si>
  <si>
    <t>---</t>
  </si>
  <si>
    <t>AL / BR</t>
  </si>
  <si>
    <t>Detached</t>
  </si>
  <si>
    <t>NE 6"</t>
  </si>
  <si>
    <t>Attached</t>
  </si>
  <si>
    <t>Profile at u/s edge of joint for study of shear layer thickness over gap</t>
  </si>
  <si>
    <t>PLOT A SPECIFIC DATA SET</t>
  </si>
  <si>
    <t>row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</si>
  <si>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 at pitot tube, ft</t>
    </r>
  </si>
  <si>
    <t>q, cfs/ft</t>
  </si>
  <si>
    <t>y*=y/depth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</si>
  <si>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*</t>
    </r>
  </si>
  <si>
    <r>
      <rPr>
        <sz val="11"/>
        <color theme="1"/>
        <rFont val="Symbol"/>
        <family val="1"/>
        <charset val="2"/>
      </rPr>
      <t>d</t>
    </r>
  </si>
  <si>
    <t>NE 14"</t>
  </si>
  <si>
    <r>
      <t>Re</t>
    </r>
    <r>
      <rPr>
        <vertAlign val="subscript"/>
        <sz val="11"/>
        <color theme="1"/>
        <rFont val="Calibri"/>
        <family val="2"/>
        <scheme val="minor"/>
      </rPr>
      <t>x</t>
    </r>
  </si>
  <si>
    <t>This did not provide anything useful…behavior is similar, within the scatter of other measurements just downstream from start of the gap</t>
  </si>
  <si>
    <t>None of these profiles are particularly helpful.  Profiles very near leading edge of gap seem scattered in their relative positions.</t>
  </si>
  <si>
    <t>y/gap</t>
  </si>
  <si>
    <t>average deficit from starting profile when shear zone is fully developed</t>
  </si>
  <si>
    <t>Distance downstream from origin of gap,
x, inches</t>
  </si>
  <si>
    <t>Gap width, inches</t>
  </si>
  <si>
    <r>
      <t>v*=v/V</t>
    </r>
    <r>
      <rPr>
        <vertAlign val="subscript"/>
        <sz val="10"/>
        <color theme="1"/>
        <rFont val="Calibri"/>
        <family val="2"/>
        <scheme val="minor"/>
      </rPr>
      <t>avg</t>
    </r>
  </si>
  <si>
    <t>THESE ARE USEFUL.  COMBINE WITH MEASUREMENTS AT 3 CFS.</t>
  </si>
  <si>
    <t>SE 12"</t>
  </si>
  <si>
    <t>AVG</t>
  </si>
  <si>
    <t>Median</t>
  </si>
  <si>
    <t>Fitted curve with exponent 1</t>
  </si>
  <si>
    <t>SPREADSHEET DOCUMENTATION</t>
  </si>
  <si>
    <t>Author:</t>
  </si>
  <si>
    <t>Tony Wahl</t>
  </si>
  <si>
    <t>Publisher:</t>
  </si>
  <si>
    <t>Bureau of Reclamation</t>
  </si>
  <si>
    <t>Date of publication:</t>
  </si>
  <si>
    <t>RISE Catalog record link:</t>
  </si>
  <si>
    <t>item link (report):</t>
  </si>
  <si>
    <t>item link (data):</t>
  </si>
  <si>
    <t>Purpose:</t>
  </si>
  <si>
    <t>Data source:</t>
  </si>
  <si>
    <t>Period of record:</t>
  </si>
  <si>
    <t>Data description:</t>
  </si>
  <si>
    <r>
      <t xml:space="preserve">To study size-related scale effect in uplift pressure data for joints of different scale with the same </t>
    </r>
    <r>
      <rPr>
        <i/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 xml:space="preserve"> ratio</t>
    </r>
  </si>
  <si>
    <t>Hydraulics laboratory measurements</t>
  </si>
  <si>
    <t>May to July, 2023</t>
  </si>
  <si>
    <t>See final report ST-2024-22039 and Wahl and Heiner (2024a) for more details.</t>
  </si>
  <si>
    <t>https://data.usbr.gov/catalog/8049</t>
  </si>
  <si>
    <t>https://data.usbr.gov/catalog/8049/item/128747</t>
  </si>
  <si>
    <t>https://data.usbr.gov/catalog/8049/item/128749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</si>
</sst>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"/>
    <numFmt numFmtId="165" formatCode="0.000"/>
    <numFmt numFmtId="166" formatCode="0.000000"/>
    <numFmt numFmtId="167" formatCode="0.00000000000000"/>
    <numFmt numFmtId="168" formatCode="m/d/yy;@"/>
    <numFmt numFmtId="169" formatCode="0.0%"/>
    <numFmt numFmtId="170" formatCode="0.0000000000"/>
  </numFmts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rgb="FF0070C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9C5700"/>
      <name val="Symbol"/>
      <family val="1"/>
      <charset val="2"/>
    </font>
    <font>
      <sz val="8"/>
      <color rgb="FF0070C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sz val="22"/>
      <color theme="1"/>
      <name val="Symbol"/>
      <family val="1"/>
      <charset val="2"/>
    </font>
    <font>
      <sz val="11"/>
      <name val="Calibri"/>
      <family val="2"/>
      <scheme val="minor"/>
    </font>
    <font>
      <sz val="11"/>
      <color rgb="FF006100"/>
      <name val="Symbol"/>
      <family val="1"/>
      <charset val="2"/>
    </font>
    <font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vertAlign val="subscript"/>
      <sz val="2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b/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Symbol"/>
      <family val="1"/>
      <charset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0625">
        <bgColor theme="8" tint="0.39994506668294322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5" fillId="5" borderId="0" applyNumberFormat="0" applyBorder="0" applyAlignment="0" applyProtection="0"/>
    <xf numFmtId="0" fontId="6" fillId="6" borderId="0" applyNumberFormat="0" applyBorder="0" applyAlignment="0" applyProtection="0"/>
    <xf numFmtId="0" fontId="7" fillId="7" borderId="0" applyNumberFormat="0" applyBorder="0" applyAlignment="0" applyProtection="0"/>
    <xf numFmtId="0" fontId="8" fillId="8" borderId="3" applyNumberFormat="0" applyAlignment="0" applyProtection="0"/>
    <xf numFmtId="0" fontId="9" fillId="9" borderId="3" applyNumberFormat="0" applyAlignment="0" applyProtection="0"/>
    <xf numFmtId="0" fontId="34" fillId="0" borderId="0" applyNumberFormat="0" applyFill="0" applyBorder="0" applyAlignment="0" applyProtection="0"/>
  </cellStyleXfs>
  <cellXfs count="157">
    <xf numFmtId="0" fontId="0" fillId="0" borderId="0" xfId="0"/>
    <xf numFmtId="0" fontId="0" fillId="0" borderId="0" xfId="0" quotePrefix="1" applyAlignment="1">
      <alignment horizontal="left"/>
    </xf>
    <xf numFmtId="16" fontId="0" fillId="0" borderId="0" xfId="0" applyNumberFormat="1"/>
    <xf numFmtId="0" fontId="0" fillId="2" borderId="0" xfId="0" applyFill="1"/>
    <xf numFmtId="0" fontId="0" fillId="0" borderId="1" xfId="0" applyBorder="1"/>
    <xf numFmtId="0" fontId="0" fillId="0" borderId="0" xfId="0" applyAlignment="1">
      <alignment wrapText="1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10" fontId="0" fillId="0" borderId="0" xfId="1" applyNumberFormat="1" applyFont="1"/>
    <xf numFmtId="0" fontId="4" fillId="0" borderId="0" xfId="0" applyFont="1"/>
    <xf numFmtId="0" fontId="0" fillId="0" borderId="0" xfId="0" quotePrefix="1" applyAlignment="1">
      <alignment horizontal="center"/>
    </xf>
    <xf numFmtId="0" fontId="0" fillId="4" borderId="0" xfId="0" applyFill="1"/>
    <xf numFmtId="165" fontId="0" fillId="4" borderId="0" xfId="0" applyNumberFormat="1" applyFill="1"/>
    <xf numFmtId="0" fontId="0" fillId="0" borderId="0" xfId="0" quotePrefix="1" applyAlignment="1">
      <alignment horizontal="left" wrapText="1"/>
    </xf>
    <xf numFmtId="0" fontId="0" fillId="0" borderId="0" xfId="0" quotePrefix="1" applyAlignment="1">
      <alignment horizontal="center" wrapText="1"/>
    </xf>
    <xf numFmtId="166" fontId="0" fillId="0" borderId="0" xfId="0" applyNumberFormat="1"/>
    <xf numFmtId="2" fontId="0" fillId="0" borderId="0" xfId="0" applyNumberFormat="1"/>
    <xf numFmtId="0" fontId="10" fillId="0" borderId="0" xfId="0" applyFont="1"/>
    <xf numFmtId="0" fontId="8" fillId="8" borderId="3" xfId="5"/>
    <xf numFmtId="0" fontId="0" fillId="3" borderId="0" xfId="0" quotePrefix="1" applyFill="1" applyAlignment="1">
      <alignment horizontal="right"/>
    </xf>
    <xf numFmtId="0" fontId="8" fillId="3" borderId="4" xfId="5" applyNumberFormat="1" applyFill="1" applyBorder="1"/>
    <xf numFmtId="0" fontId="0" fillId="10" borderId="5" xfId="0" applyFill="1" applyBorder="1"/>
    <xf numFmtId="0" fontId="0" fillId="10" borderId="0" xfId="0" quotePrefix="1" applyFill="1" applyAlignment="1">
      <alignment horizontal="left"/>
    </xf>
    <xf numFmtId="11" fontId="0" fillId="0" borderId="0" xfId="0" applyNumberFormat="1"/>
    <xf numFmtId="0" fontId="9" fillId="9" borderId="3" xfId="6"/>
    <xf numFmtId="0" fontId="6" fillId="6" borderId="0" xfId="3"/>
    <xf numFmtId="0" fontId="4" fillId="11" borderId="3" xfId="5" quotePrefix="1" applyNumberFormat="1" applyFont="1" applyFill="1" applyAlignment="1">
      <alignment horizontal="left"/>
    </xf>
    <xf numFmtId="0" fontId="13" fillId="11" borderId="6" xfId="5" quotePrefix="1" applyFont="1" applyFill="1" applyBorder="1" applyAlignment="1">
      <alignment horizontal="left"/>
    </xf>
    <xf numFmtId="0" fontId="3" fillId="0" borderId="0" xfId="0" applyFont="1"/>
    <xf numFmtId="0" fontId="0" fillId="0" borderId="0" xfId="0" quotePrefix="1" applyAlignment="1">
      <alignment horizontal="right" wrapText="1"/>
    </xf>
    <xf numFmtId="0" fontId="0" fillId="12" borderId="0" xfId="0" applyFill="1"/>
    <xf numFmtId="0" fontId="3" fillId="12" borderId="0" xfId="0" applyFont="1" applyFill="1" applyAlignment="1">
      <alignment horizontal="right"/>
    </xf>
    <xf numFmtId="9" fontId="8" fillId="8" borderId="3" xfId="5" applyNumberFormat="1"/>
    <xf numFmtId="0" fontId="7" fillId="7" borderId="0" xfId="4" quotePrefix="1" applyAlignment="1">
      <alignment horizontal="right"/>
    </xf>
    <xf numFmtId="0" fontId="7" fillId="7" borderId="3" xfId="4" applyNumberFormat="1" applyBorder="1"/>
    <xf numFmtId="0" fontId="15" fillId="11" borderId="0" xfId="0" quotePrefix="1" applyFont="1" applyFill="1"/>
    <xf numFmtId="0" fontId="13" fillId="11" borderId="0" xfId="0" quotePrefix="1" applyFont="1" applyFill="1" applyAlignment="1">
      <alignment horizontal="left"/>
    </xf>
    <xf numFmtId="0" fontId="17" fillId="0" borderId="0" xfId="0" quotePrefix="1" applyFont="1" applyAlignment="1">
      <alignment horizontal="left" wrapText="1"/>
    </xf>
    <xf numFmtId="0" fontId="7" fillId="7" borderId="0" xfId="4" quotePrefix="1" applyAlignment="1">
      <alignment horizontal="left"/>
    </xf>
    <xf numFmtId="0" fontId="7" fillId="7" borderId="0" xfId="4"/>
    <xf numFmtId="0" fontId="0" fillId="0" borderId="0" xfId="0" applyAlignment="1">
      <alignment horizontal="center"/>
    </xf>
    <xf numFmtId="0" fontId="19" fillId="0" borderId="0" xfId="0" quotePrefix="1" applyFont="1" applyAlignment="1">
      <alignment horizontal="center"/>
    </xf>
    <xf numFmtId="0" fontId="21" fillId="2" borderId="7" xfId="0" applyFont="1" applyFill="1" applyBorder="1" applyAlignment="1">
      <alignment horizontal="center"/>
    </xf>
    <xf numFmtId="0" fontId="19" fillId="0" borderId="0" xfId="0" quotePrefix="1" applyFont="1" applyAlignment="1">
      <alignment horizontal="center" wrapText="1"/>
    </xf>
    <xf numFmtId="167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quotePrefix="1" applyAlignment="1">
      <alignment horizontal="center" vertical="center" wrapText="1"/>
    </xf>
    <xf numFmtId="0" fontId="0" fillId="0" borderId="1" xfId="0" quotePrefix="1" applyBorder="1" applyAlignment="1">
      <alignment horizontal="center" wrapText="1"/>
    </xf>
    <xf numFmtId="0" fontId="0" fillId="13" borderId="0" xfId="0" quotePrefix="1" applyFill="1" applyAlignment="1">
      <alignment horizontal="center" wrapText="1"/>
    </xf>
    <xf numFmtId="0" fontId="17" fillId="0" borderId="0" xfId="0" quotePrefix="1" applyFont="1" applyAlignment="1">
      <alignment horizontal="center" wrapText="1"/>
    </xf>
    <xf numFmtId="0" fontId="7" fillId="7" borderId="0" xfId="4" quotePrefix="1" applyAlignment="1">
      <alignment horizontal="center" wrapText="1"/>
    </xf>
    <xf numFmtId="0" fontId="22" fillId="14" borderId="0" xfId="0" quotePrefix="1" applyFont="1" applyFill="1" applyAlignment="1">
      <alignment horizontal="center" wrapText="1"/>
    </xf>
    <xf numFmtId="0" fontId="0" fillId="0" borderId="0" xfId="0" quotePrefix="1" applyAlignment="1">
      <alignment wrapText="1"/>
    </xf>
    <xf numFmtId="0" fontId="5" fillId="5" borderId="0" xfId="2" quotePrefix="1" applyAlignment="1">
      <alignment horizontal="left" wrapText="1"/>
    </xf>
    <xf numFmtId="0" fontId="24" fillId="0" borderId="0" xfId="0" quotePrefix="1" applyFont="1" applyAlignment="1">
      <alignment horizontal="center" wrapText="1"/>
    </xf>
    <xf numFmtId="0" fontId="0" fillId="15" borderId="0" xfId="0" applyFill="1" applyAlignment="1">
      <alignment horizontal="center"/>
    </xf>
    <xf numFmtId="0" fontId="0" fillId="15" borderId="0" xfId="0" quotePrefix="1" applyFill="1" applyAlignment="1">
      <alignment horizontal="center" wrapText="1"/>
    </xf>
    <xf numFmtId="0" fontId="27" fillId="0" borderId="0" xfId="0" quotePrefix="1" applyFont="1" applyAlignment="1">
      <alignment horizontal="left" wrapText="1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8" xfId="0" quotePrefix="1" applyBorder="1" applyAlignment="1">
      <alignment horizontal="center"/>
    </xf>
    <xf numFmtId="168" fontId="0" fillId="0" borderId="0" xfId="0" applyNumberFormat="1"/>
    <xf numFmtId="18" fontId="0" fillId="0" borderId="0" xfId="0" applyNumberFormat="1"/>
    <xf numFmtId="2" fontId="28" fillId="0" borderId="0" xfId="0" applyNumberFormat="1" applyFont="1"/>
    <xf numFmtId="165" fontId="4" fillId="0" borderId="0" xfId="0" applyNumberFormat="1" applyFont="1"/>
    <xf numFmtId="0" fontId="29" fillId="0" borderId="0" xfId="0" applyFont="1"/>
    <xf numFmtId="0" fontId="28" fillId="0" borderId="0" xfId="0" applyFont="1"/>
    <xf numFmtId="164" fontId="4" fillId="0" borderId="0" xfId="0" applyNumberFormat="1" applyFont="1"/>
    <xf numFmtId="2" fontId="4" fillId="0" borderId="0" xfId="0" applyNumberFormat="1" applyFont="1"/>
    <xf numFmtId="165" fontId="29" fillId="0" borderId="0" xfId="0" applyNumberFormat="1" applyFont="1"/>
    <xf numFmtId="2" fontId="8" fillId="16" borderId="6" xfId="5" applyNumberFormat="1" applyFill="1" applyBorder="1"/>
    <xf numFmtId="164" fontId="8" fillId="16" borderId="6" xfId="5" applyNumberFormat="1" applyFill="1" applyBorder="1"/>
    <xf numFmtId="165" fontId="0" fillId="0" borderId="0" xfId="1" applyNumberFormat="1" applyFont="1"/>
    <xf numFmtId="169" fontId="0" fillId="0" borderId="0" xfId="1" applyNumberFormat="1" applyFont="1"/>
    <xf numFmtId="2" fontId="0" fillId="0" borderId="0" xfId="1" applyNumberFormat="1" applyFont="1"/>
    <xf numFmtId="0" fontId="0" fillId="0" borderId="0" xfId="1" applyNumberFormat="1" applyFont="1"/>
    <xf numFmtId="1" fontId="0" fillId="0" borderId="0" xfId="1" applyNumberFormat="1" applyFont="1"/>
    <xf numFmtId="164" fontId="8" fillId="8" borderId="3" xfId="5" applyNumberFormat="1"/>
    <xf numFmtId="168" fontId="0" fillId="0" borderId="1" xfId="0" applyNumberFormat="1" applyBorder="1"/>
    <xf numFmtId="18" fontId="0" fillId="0" borderId="1" xfId="0" applyNumberFormat="1" applyBorder="1"/>
    <xf numFmtId="0" fontId="0" fillId="0" borderId="1" xfId="0" quotePrefix="1" applyBorder="1" applyAlignment="1">
      <alignment horizontal="left"/>
    </xf>
    <xf numFmtId="165" fontId="4" fillId="0" borderId="1" xfId="0" applyNumberFormat="1" applyFont="1" applyBorder="1"/>
    <xf numFmtId="0" fontId="29" fillId="0" borderId="1" xfId="0" applyFont="1" applyBorder="1"/>
    <xf numFmtId="166" fontId="0" fillId="0" borderId="1" xfId="0" applyNumberFormat="1" applyBorder="1"/>
    <xf numFmtId="0" fontId="28" fillId="0" borderId="1" xfId="0" applyFont="1" applyBorder="1"/>
    <xf numFmtId="164" fontId="4" fillId="0" borderId="1" xfId="0" applyNumberFormat="1" applyFont="1" applyBorder="1"/>
    <xf numFmtId="2" fontId="0" fillId="0" borderId="1" xfId="0" applyNumberFormat="1" applyBorder="1"/>
    <xf numFmtId="2" fontId="28" fillId="0" borderId="1" xfId="0" applyNumberFormat="1" applyFont="1" applyBorder="1"/>
    <xf numFmtId="2" fontId="4" fillId="0" borderId="1" xfId="0" applyNumberFormat="1" applyFont="1" applyBorder="1"/>
    <xf numFmtId="164" fontId="0" fillId="0" borderId="1" xfId="0" applyNumberFormat="1" applyBorder="1"/>
    <xf numFmtId="165" fontId="29" fillId="0" borderId="1" xfId="0" applyNumberFormat="1" applyFont="1" applyBorder="1"/>
    <xf numFmtId="0" fontId="4" fillId="0" borderId="1" xfId="0" applyFont="1" applyBorder="1"/>
    <xf numFmtId="165" fontId="0" fillId="0" borderId="1" xfId="0" applyNumberFormat="1" applyBorder="1"/>
    <xf numFmtId="165" fontId="28" fillId="0" borderId="0" xfId="0" applyNumberFormat="1" applyFont="1"/>
    <xf numFmtId="1" fontId="4" fillId="0" borderId="0" xfId="0" applyNumberFormat="1" applyFont="1"/>
    <xf numFmtId="165" fontId="28" fillId="0" borderId="1" xfId="0" applyNumberFormat="1" applyFont="1" applyBorder="1"/>
    <xf numFmtId="1" fontId="4" fillId="0" borderId="1" xfId="0" applyNumberFormat="1" applyFont="1" applyBorder="1"/>
    <xf numFmtId="2" fontId="4" fillId="0" borderId="0" xfId="0" quotePrefix="1" applyNumberFormat="1" applyFont="1"/>
    <xf numFmtId="170" fontId="0" fillId="0" borderId="0" xfId="0" applyNumberFormat="1"/>
    <xf numFmtId="16" fontId="0" fillId="4" borderId="0" xfId="0" applyNumberFormat="1" applyFill="1"/>
    <xf numFmtId="18" fontId="0" fillId="4" borderId="0" xfId="0" applyNumberFormat="1" applyFill="1"/>
    <xf numFmtId="0" fontId="0" fillId="4" borderId="0" xfId="0" quotePrefix="1" applyFill="1" applyAlignment="1">
      <alignment horizontal="left"/>
    </xf>
    <xf numFmtId="165" fontId="4" fillId="4" borderId="0" xfId="0" applyNumberFormat="1" applyFont="1" applyFill="1"/>
    <xf numFmtId="0" fontId="29" fillId="4" borderId="0" xfId="0" applyFont="1" applyFill="1"/>
    <xf numFmtId="0" fontId="28" fillId="4" borderId="0" xfId="0" applyFont="1" applyFill="1"/>
    <xf numFmtId="164" fontId="4" fillId="4" borderId="0" xfId="0" applyNumberFormat="1" applyFont="1" applyFill="1"/>
    <xf numFmtId="2" fontId="0" fillId="4" borderId="0" xfId="0" applyNumberFormat="1" applyFill="1"/>
    <xf numFmtId="2" fontId="28" fillId="4" borderId="0" xfId="0" applyNumberFormat="1" applyFont="1" applyFill="1"/>
    <xf numFmtId="2" fontId="4" fillId="4" borderId="0" xfId="0" applyNumberFormat="1" applyFont="1" applyFill="1"/>
    <xf numFmtId="164" fontId="0" fillId="4" borderId="0" xfId="0" applyNumberFormat="1" applyFill="1"/>
    <xf numFmtId="0" fontId="4" fillId="4" borderId="0" xfId="0" applyFont="1" applyFill="1"/>
    <xf numFmtId="11" fontId="0" fillId="4" borderId="0" xfId="0" applyNumberFormat="1" applyFill="1"/>
    <xf numFmtId="165" fontId="28" fillId="4" borderId="0" xfId="0" applyNumberFormat="1" applyFont="1" applyFill="1"/>
    <xf numFmtId="0" fontId="0" fillId="18" borderId="2" xfId="0" applyFill="1" applyBorder="1"/>
    <xf numFmtId="0" fontId="0" fillId="13" borderId="9" xfId="0" quotePrefix="1" applyFill="1" applyBorder="1" applyAlignment="1">
      <alignment horizontal="left"/>
    </xf>
    <xf numFmtId="0" fontId="0" fillId="13" borderId="10" xfId="0" applyFill="1" applyBorder="1"/>
    <xf numFmtId="0" fontId="0" fillId="17" borderId="2" xfId="0" applyFill="1" applyBorder="1"/>
    <xf numFmtId="0" fontId="0" fillId="13" borderId="0" xfId="0" applyFill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30" fillId="0" borderId="0" xfId="0" quotePrefix="1" applyFont="1" applyAlignment="1">
      <alignment horizontal="left" wrapText="1"/>
    </xf>
    <xf numFmtId="14" fontId="0" fillId="0" borderId="0" xfId="0" applyNumberFormat="1"/>
    <xf numFmtId="14" fontId="0" fillId="0" borderId="1" xfId="0" applyNumberFormat="1" applyBorder="1"/>
    <xf numFmtId="0" fontId="0" fillId="0" borderId="0" xfId="0" applyBorder="1"/>
    <xf numFmtId="0" fontId="31" fillId="0" borderId="0" xfId="0" applyFont="1"/>
    <xf numFmtId="14" fontId="0" fillId="4" borderId="0" xfId="0" applyNumberFormat="1" applyFill="1"/>
    <xf numFmtId="14" fontId="0" fillId="4" borderId="1" xfId="0" applyNumberFormat="1" applyFill="1" applyBorder="1"/>
    <xf numFmtId="18" fontId="0" fillId="4" borderId="1" xfId="0" applyNumberFormat="1" applyFill="1" applyBorder="1"/>
    <xf numFmtId="0" fontId="0" fillId="4" borderId="1" xfId="0" applyFill="1" applyBorder="1"/>
    <xf numFmtId="0" fontId="4" fillId="4" borderId="1" xfId="0" applyFont="1" applyFill="1" applyBorder="1"/>
    <xf numFmtId="2" fontId="0" fillId="4" borderId="1" xfId="0" applyNumberFormat="1" applyFill="1" applyBorder="1"/>
    <xf numFmtId="0" fontId="32" fillId="0" borderId="0" xfId="0" quotePrefix="1" applyFont="1" applyAlignment="1">
      <alignment horizontal="left" wrapText="1"/>
    </xf>
    <xf numFmtId="0" fontId="0" fillId="4" borderId="0" xfId="0" applyFill="1" applyBorder="1"/>
    <xf numFmtId="1" fontId="0" fillId="0" borderId="0" xfId="0" applyNumberFormat="1"/>
    <xf numFmtId="0" fontId="0" fillId="0" borderId="0" xfId="0" applyFill="1" applyBorder="1"/>
    <xf numFmtId="0" fontId="4" fillId="0" borderId="0" xfId="0" applyFont="1" applyFill="1" applyBorder="1"/>
    <xf numFmtId="0" fontId="0" fillId="0" borderId="1" xfId="0" applyFill="1" applyBorder="1"/>
    <xf numFmtId="0" fontId="4" fillId="0" borderId="1" xfId="0" applyFont="1" applyFill="1" applyBorder="1"/>
    <xf numFmtId="0" fontId="5" fillId="5" borderId="0" xfId="2"/>
    <xf numFmtId="0" fontId="0" fillId="2" borderId="0" xfId="0" quotePrefix="1" applyFill="1" applyAlignment="1">
      <alignment horizontal="left"/>
    </xf>
    <xf numFmtId="169" fontId="0" fillId="0" borderId="0" xfId="0" applyNumberFormat="1"/>
    <xf numFmtId="0" fontId="0" fillId="0" borderId="0" xfId="0" applyAlignment="1">
      <alignment horizontal="left"/>
    </xf>
    <xf numFmtId="0" fontId="35" fillId="0" borderId="0" xfId="0" quotePrefix="1" applyFont="1" applyAlignment="1">
      <alignment horizontal="left"/>
    </xf>
    <xf numFmtId="0" fontId="1" fillId="0" borderId="0" xfId="0" applyFont="1"/>
    <xf numFmtId="0" fontId="1" fillId="0" borderId="0" xfId="0" quotePrefix="1" applyFont="1" applyAlignment="1">
      <alignment horizontal="left"/>
    </xf>
    <xf numFmtId="0" fontId="34" fillId="0" borderId="0" xfId="7"/>
    <xf numFmtId="0" fontId="1" fillId="0" borderId="0" xfId="0" quotePrefix="1" applyFont="1" applyAlignment="1">
      <alignment horizontal="right"/>
    </xf>
    <xf numFmtId="0" fontId="34" fillId="0" borderId="0" xfId="7" quotePrefix="1" applyAlignment="1">
      <alignment horizontal="left"/>
    </xf>
    <xf numFmtId="0" fontId="0" fillId="0" borderId="1" xfId="0" quotePrefix="1" applyBorder="1" applyAlignment="1">
      <alignment horizontal="center" wrapText="1"/>
    </xf>
  </cellXfs>
  <cellStyles count="8">
    <cellStyle name="Bad" xfId="3" builtinId="27"/>
    <cellStyle name="Calculation" xfId="6" builtinId="22"/>
    <cellStyle name="Good" xfId="2" builtinId="26"/>
    <cellStyle name="Hyperlink" xfId="7" builtinId="8"/>
    <cellStyle name="Input" xfId="5" builtinId="20"/>
    <cellStyle name="Neutral" xfId="4" builtinId="28"/>
    <cellStyle name="Normal" xfId="0" builtinId="0"/>
    <cellStyle name="Percent" xfId="1" builtinId="5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92209256126899"/>
          <c:y val="3.8140630924188318E-2"/>
          <c:w val="0.81692250151740842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Chute profile, x**=0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DATA'!$Q$10:$Q$15</c:f>
              <c:numCache>
                <c:formatCode>General</c:formatCode>
                <c:ptCount val="6"/>
                <c:pt idx="0">
                  <c:v>0.71112896405424164</c:v>
                </c:pt>
                <c:pt idx="1">
                  <c:v>0.76757159569983047</c:v>
                </c:pt>
                <c:pt idx="2">
                  <c:v>0.84760255188673572</c:v>
                </c:pt>
                <c:pt idx="3">
                  <c:v>0.94578751528439831</c:v>
                </c:pt>
                <c:pt idx="4">
                  <c:v>1.0599645872503598</c:v>
                </c:pt>
                <c:pt idx="5">
                  <c:v>1.1037131718807416</c:v>
                </c:pt>
              </c:numCache>
            </c:numRef>
          </c:xVal>
          <c:yVal>
            <c:numRef>
              <c:f>'Gap Profiles DATA'!$P$10:$P$15</c:f>
              <c:numCache>
                <c:formatCode>General</c:formatCode>
                <c:ptCount val="6"/>
                <c:pt idx="0">
                  <c:v>2.597781041559093E-2</c:v>
                </c:pt>
                <c:pt idx="1">
                  <c:v>4.5646049676334004E-2</c:v>
                </c:pt>
                <c:pt idx="2">
                  <c:v>0.10465076745856881</c:v>
                </c:pt>
                <c:pt idx="3">
                  <c:v>0.26199668154452177</c:v>
                </c:pt>
                <c:pt idx="4">
                  <c:v>0.65536146675940565</c:v>
                </c:pt>
                <c:pt idx="5">
                  <c:v>0.77337090232386962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25-451C-B128-76226DEA8FB0}"/>
            </c:ext>
          </c:extLst>
        </c:ser>
        <c:ser>
          <c:idx val="0"/>
          <c:order val="1"/>
          <c:tx>
            <c:v>x**=0.25</c:v>
          </c:tx>
          <c:spPr>
            <a:ln w="9525">
              <a:prstDash val="dash"/>
            </a:ln>
          </c:spPr>
          <c:marker>
            <c:spPr>
              <a:ln w="9525">
                <a:prstDash val="dash"/>
              </a:ln>
            </c:spPr>
          </c:marker>
          <c:xVal>
            <c:numRef>
              <c:f>'Gap Profiles DATA'!$Q$16:$Q$25</c:f>
              <c:numCache>
                <c:formatCode>General</c:formatCode>
                <c:ptCount val="10"/>
                <c:pt idx="0">
                  <c:v>0.66085675545150813</c:v>
                </c:pt>
                <c:pt idx="1">
                  <c:v>0.67457580997131339</c:v>
                </c:pt>
                <c:pt idx="2">
                  <c:v>0.7043952748021034</c:v>
                </c:pt>
                <c:pt idx="3">
                  <c:v>0.73660408587925574</c:v>
                </c:pt>
                <c:pt idx="4">
                  <c:v>0.80715115445470309</c:v>
                </c:pt>
                <c:pt idx="5">
                  <c:v>0.85074005935772623</c:v>
                </c:pt>
                <c:pt idx="6">
                  <c:v>0.87317583876600902</c:v>
                </c:pt>
                <c:pt idx="7">
                  <c:v>0.96614225264637321</c:v>
                </c:pt>
                <c:pt idx="8">
                  <c:v>1.0828758085873404</c:v>
                </c:pt>
                <c:pt idx="9">
                  <c:v>1.1028991544069051</c:v>
                </c:pt>
              </c:numCache>
            </c:numRef>
          </c:xVal>
          <c:yVal>
            <c:numRef>
              <c:f>'Gap Profiles DATA'!$P$16:$P$25</c:f>
              <c:numCache>
                <c:formatCode>General</c:formatCode>
                <c:ptCount val="10"/>
                <c:pt idx="0">
                  <c:v>2.597781041559093E-2</c:v>
                </c:pt>
                <c:pt idx="1">
                  <c:v>2.9911458267738982E-2</c:v>
                </c:pt>
                <c:pt idx="2">
                  <c:v>3.7778753972037893E-2</c:v>
                </c:pt>
                <c:pt idx="3">
                  <c:v>4.5646049676334004E-2</c:v>
                </c:pt>
                <c:pt idx="4">
                  <c:v>6.531428893707987E-2</c:v>
                </c:pt>
                <c:pt idx="5">
                  <c:v>8.498252819782294E-2</c:v>
                </c:pt>
                <c:pt idx="6">
                  <c:v>0.10465076745856881</c:v>
                </c:pt>
                <c:pt idx="7">
                  <c:v>0.26199668154452177</c:v>
                </c:pt>
                <c:pt idx="8">
                  <c:v>0.65536146675940565</c:v>
                </c:pt>
                <c:pt idx="9">
                  <c:v>0.77337090232386962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80-4C1E-9C6C-07A0CAE11FE3}"/>
            </c:ext>
          </c:extLst>
        </c:ser>
        <c:ser>
          <c:idx val="2"/>
          <c:order val="2"/>
          <c:tx>
            <c:v>x**=0.5</c:v>
          </c:tx>
          <c:xVal>
            <c:numRef>
              <c:f>'Gap Profiles DATA'!$Q$26:$Q$32</c:f>
              <c:numCache>
                <c:formatCode>General</c:formatCode>
                <c:ptCount val="7"/>
                <c:pt idx="0">
                  <c:v>0.62543497045379015</c:v>
                </c:pt>
                <c:pt idx="1">
                  <c:v>0.68299929972174023</c:v>
                </c:pt>
                <c:pt idx="2">
                  <c:v>0.70571995621950612</c:v>
                </c:pt>
                <c:pt idx="3">
                  <c:v>0.8142042164957719</c:v>
                </c:pt>
                <c:pt idx="4">
                  <c:v>0.88546588175081364</c:v>
                </c:pt>
                <c:pt idx="5">
                  <c:v>0.96415713392237579</c:v>
                </c:pt>
                <c:pt idx="6">
                  <c:v>1.0740208330806975</c:v>
                </c:pt>
              </c:numCache>
            </c:numRef>
          </c:xVal>
          <c:yVal>
            <c:numRef>
              <c:f>'Gap Profiles DATA'!$P$26:$P$32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4.5646049676334004E-2</c:v>
                </c:pt>
                <c:pt idx="2">
                  <c:v>5.744699323278097E-2</c:v>
                </c:pt>
                <c:pt idx="3">
                  <c:v>0.10465076745856881</c:v>
                </c:pt>
                <c:pt idx="4">
                  <c:v>0.1479208938322058</c:v>
                </c:pt>
                <c:pt idx="5">
                  <c:v>0.26199668154452177</c:v>
                </c:pt>
                <c:pt idx="6">
                  <c:v>0.61602498823791674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A25-451C-B128-76226DEA8FB0}"/>
            </c:ext>
          </c:extLst>
        </c:ser>
        <c:ser>
          <c:idx val="4"/>
          <c:order val="3"/>
          <c:tx>
            <c:v>x**=0.75</c:v>
          </c:tx>
          <c:xVal>
            <c:numRef>
              <c:f>'Gap Profiles DATA'!$Q$33:$Q$39</c:f>
              <c:numCache>
                <c:formatCode>General</c:formatCode>
                <c:ptCount val="7"/>
                <c:pt idx="0">
                  <c:v>0.63611325623043347</c:v>
                </c:pt>
                <c:pt idx="1">
                  <c:v>0.71662227257853972</c:v>
                </c:pt>
                <c:pt idx="2">
                  <c:v>0.75736334030130648</c:v>
                </c:pt>
                <c:pt idx="3">
                  <c:v>0.85460193595083445</c:v>
                </c:pt>
                <c:pt idx="4">
                  <c:v>0.93534795335627352</c:v>
                </c:pt>
                <c:pt idx="5">
                  <c:v>1.0066281147344198</c:v>
                </c:pt>
                <c:pt idx="6">
                  <c:v>1.0684316855006155</c:v>
                </c:pt>
              </c:numCache>
            </c:numRef>
          </c:xVal>
          <c:yVal>
            <c:numRef>
              <c:f>'Gap Profiles DATA'!$P$33:$P$39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6.531428893707987E-2</c:v>
                </c:pt>
                <c:pt idx="2">
                  <c:v>8.498252819782294E-2</c:v>
                </c:pt>
                <c:pt idx="3">
                  <c:v>0.14398724598005494</c:v>
                </c:pt>
                <c:pt idx="4">
                  <c:v>0.22266020302303283</c:v>
                </c:pt>
                <c:pt idx="5">
                  <c:v>0.38000611710898585</c:v>
                </c:pt>
                <c:pt idx="6">
                  <c:v>0.61602498823791674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A25-451C-B128-76226DEA8FB0}"/>
            </c:ext>
          </c:extLst>
        </c:ser>
        <c:ser>
          <c:idx val="3"/>
          <c:order val="4"/>
          <c:tx>
            <c:v>x**=1</c:v>
          </c:tx>
          <c:xVal>
            <c:numRef>
              <c:f>'Gap Profiles DATA'!$Q$40:$Q$46</c:f>
              <c:numCache>
                <c:formatCode>General</c:formatCode>
                <c:ptCount val="7"/>
                <c:pt idx="0">
                  <c:v>0.63710072394867867</c:v>
                </c:pt>
                <c:pt idx="1">
                  <c:v>0.76819520983492906</c:v>
                </c:pt>
                <c:pt idx="2">
                  <c:v>0.8511621132381878</c:v>
                </c:pt>
                <c:pt idx="3">
                  <c:v>0.95752080960361829</c:v>
                </c:pt>
                <c:pt idx="4">
                  <c:v>1.0032022773215514</c:v>
                </c:pt>
                <c:pt idx="5">
                  <c:v>1.025280041463178</c:v>
                </c:pt>
                <c:pt idx="6">
                  <c:v>1.0699715775426695</c:v>
                </c:pt>
              </c:numCache>
            </c:numRef>
          </c:xVal>
          <c:yVal>
            <c:numRef>
              <c:f>'Gap Profiles DATA'!$P$40:$P$46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0.10465076745856881</c:v>
                </c:pt>
                <c:pt idx="2">
                  <c:v>0.16365548524080084</c:v>
                </c:pt>
                <c:pt idx="3">
                  <c:v>0.28166492080526767</c:v>
                </c:pt>
                <c:pt idx="4">
                  <c:v>0.36033787784824284</c:v>
                </c:pt>
                <c:pt idx="5">
                  <c:v>0.43901083489122061</c:v>
                </c:pt>
                <c:pt idx="6">
                  <c:v>0.59635674897717372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A25-451C-B128-76226DEA8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2"/>
          <c:min val="0.60000000000000009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056863507763654E-2"/>
          <c:y val="7.1918390201224841E-2"/>
          <c:w val="0.86085734113363377"/>
          <c:h val="0.81798271216097984"/>
        </c:manualLayout>
      </c:layout>
      <c:scatterChart>
        <c:scatterStyle val="lineMarker"/>
        <c:varyColors val="0"/>
        <c:ser>
          <c:idx val="1"/>
          <c:order val="0"/>
          <c:tx>
            <c:v>Q3 - x** = 0</c:v>
          </c:tx>
          <c:spPr>
            <a:ln w="28575">
              <a:noFill/>
            </a:ln>
          </c:spPr>
          <c:marker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trendline>
            <c:spPr>
              <a:ln w="12700">
                <a:solidFill>
                  <a:schemeClr val="tx2">
                    <a:lumMod val="75000"/>
                  </a:schemeClr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DATA'!$Q$47:$Q$51</c:f>
              <c:numCache>
                <c:formatCode>General</c:formatCode>
                <c:ptCount val="5"/>
                <c:pt idx="0">
                  <c:v>0.72204248064779841</c:v>
                </c:pt>
                <c:pt idx="1">
                  <c:v>0.78106471542875444</c:v>
                </c:pt>
                <c:pt idx="2">
                  <c:v>0.85944838720520744</c:v>
                </c:pt>
                <c:pt idx="3">
                  <c:v>0.93552953443612585</c:v>
                </c:pt>
                <c:pt idx="4">
                  <c:v>1.0561479516125869</c:v>
                </c:pt>
              </c:numCache>
            </c:numRef>
          </c:xVal>
          <c:yVal>
            <c:numRef>
              <c:f>'Gap Profiles DATA'!$J$47:$J$51</c:f>
              <c:numCache>
                <c:formatCode>General</c:formatCode>
                <c:ptCount val="5"/>
                <c:pt idx="0">
                  <c:v>8.6666666666666663E-3</c:v>
                </c:pt>
                <c:pt idx="1">
                  <c:v>1.522834645669254E-2</c:v>
                </c:pt>
                <c:pt idx="2">
                  <c:v>3.4913385826772024E-2</c:v>
                </c:pt>
                <c:pt idx="3">
                  <c:v>7.4283464566929122E-2</c:v>
                </c:pt>
                <c:pt idx="4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1B-45B1-90DC-489F94D4B9D8}"/>
            </c:ext>
          </c:extLst>
        </c:ser>
        <c:ser>
          <c:idx val="0"/>
          <c:order val="1"/>
          <c:tx>
            <c:v>        x** = 0.25</c:v>
          </c:tx>
          <c:spPr>
            <a:ln w="19050">
              <a:solidFill>
                <a:schemeClr val="tx2">
                  <a:lumMod val="60000"/>
                  <a:lumOff val="40000"/>
                </a:schemeClr>
              </a:solidFill>
              <a:prstDash val="sysDot"/>
            </a:ln>
          </c:spPr>
          <c:marker>
            <c:symbol val="diamond"/>
            <c:size val="5"/>
            <c:spPr>
              <a:noFill/>
            </c:spPr>
          </c:marker>
          <c:dPt>
            <c:idx val="2"/>
            <c:marker>
              <c:spPr>
                <a:noFill/>
                <a:ln>
                  <a:solidFill>
                    <a:schemeClr val="tx2">
                      <a:lumMod val="60000"/>
                      <a:lumOff val="40000"/>
                    </a:schemeClr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FE1B-45B1-90DC-489F94D4B9D8}"/>
              </c:ext>
            </c:extLst>
          </c:dPt>
          <c:xVal>
            <c:numRef>
              <c:f>'Gap Profiles DATA'!$Q$52:$Q$58</c:f>
              <c:numCache>
                <c:formatCode>General</c:formatCode>
                <c:ptCount val="7"/>
                <c:pt idx="0">
                  <c:v>0.68683255951159472</c:v>
                </c:pt>
                <c:pt idx="1">
                  <c:v>0.72082327827985393</c:v>
                </c:pt>
                <c:pt idx="2">
                  <c:v>0.77673602819338416</c:v>
                </c:pt>
                <c:pt idx="3">
                  <c:v>0.79700502714655364</c:v>
                </c:pt>
                <c:pt idx="4">
                  <c:v>0.86247904699284239</c:v>
                </c:pt>
                <c:pt idx="5">
                  <c:v>0.93565485046039643</c:v>
                </c:pt>
                <c:pt idx="6">
                  <c:v>1.0600271336310532</c:v>
                </c:pt>
              </c:numCache>
            </c:numRef>
          </c:xVal>
          <c:yVal>
            <c:numRef>
              <c:f>'Gap Profiles DATA'!$J$52:$J$58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1.1291338582677576E-2</c:v>
                </c:pt>
                <c:pt idx="2">
                  <c:v>1.6540682414698461E-2</c:v>
                </c:pt>
                <c:pt idx="3">
                  <c:v>1.9165354330708439E-2</c:v>
                </c:pt>
                <c:pt idx="4">
                  <c:v>3.4913385826772024E-2</c:v>
                </c:pt>
                <c:pt idx="5">
                  <c:v>7.4283464566929122E-2</c:v>
                </c:pt>
                <c:pt idx="6">
                  <c:v>0.20551706036745407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E1B-45B1-90DC-489F94D4B9D8}"/>
            </c:ext>
          </c:extLst>
        </c:ser>
        <c:ser>
          <c:idx val="2"/>
          <c:order val="2"/>
          <c:tx>
            <c:v>        x** = 0.33</c:v>
          </c:tx>
          <c:spPr>
            <a:ln w="19050">
              <a:solidFill>
                <a:schemeClr val="tx2">
                  <a:lumMod val="40000"/>
                  <a:lumOff val="60000"/>
                </a:schemeClr>
              </a:solidFill>
              <a:prstDash val="sysDash"/>
            </a:ln>
          </c:spPr>
          <c:marker>
            <c:symbol val="triangle"/>
            <c:size val="5"/>
            <c:spPr>
              <a:noFill/>
              <a:ln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marker>
          <c:xVal>
            <c:numRef>
              <c:f>'Gap Profiles DATA'!$Q$59:$Q$65</c:f>
              <c:numCache>
                <c:formatCode>General</c:formatCode>
                <c:ptCount val="7"/>
                <c:pt idx="0">
                  <c:v>0.64652068026980913</c:v>
                </c:pt>
                <c:pt idx="1">
                  <c:v>0.67444142270773866</c:v>
                </c:pt>
                <c:pt idx="2">
                  <c:v>0.77292697999862148</c:v>
                </c:pt>
                <c:pt idx="3">
                  <c:v>0.83372910382043575</c:v>
                </c:pt>
                <c:pt idx="4">
                  <c:v>0.8508889012402957</c:v>
                </c:pt>
                <c:pt idx="5">
                  <c:v>0.87571403386866431</c:v>
                </c:pt>
                <c:pt idx="6">
                  <c:v>1.060534065710377</c:v>
                </c:pt>
              </c:numCache>
            </c:numRef>
          </c:xVal>
          <c:yVal>
            <c:numRef>
              <c:f>'Gap Profiles DATA'!$J$59:$J$65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1.1291338582677576E-2</c:v>
                </c:pt>
                <c:pt idx="2">
                  <c:v>2.1790026246719347E-2</c:v>
                </c:pt>
                <c:pt idx="3">
                  <c:v>3.0976377952756127E-2</c:v>
                </c:pt>
                <c:pt idx="4">
                  <c:v>3.4913385826772024E-2</c:v>
                </c:pt>
                <c:pt idx="5">
                  <c:v>4.1475065616797896E-2</c:v>
                </c:pt>
                <c:pt idx="6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1B-45B1-90DC-489F94D4B9D8}"/>
            </c:ext>
          </c:extLst>
        </c:ser>
        <c:ser>
          <c:idx val="3"/>
          <c:order val="3"/>
          <c:tx>
            <c:v>        x** = 0.50</c:v>
          </c:tx>
          <c:spPr>
            <a:ln w="19050">
              <a:solidFill>
                <a:schemeClr val="accent5">
                  <a:lumMod val="60000"/>
                  <a:lumOff val="40000"/>
                </a:schemeClr>
              </a:solidFill>
              <a:prstDash val="dash"/>
            </a:ln>
          </c:spPr>
          <c:marker>
            <c:symbol val="x"/>
            <c:size val="5"/>
            <c:spPr>
              <a:noFill/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xVal>
            <c:numRef>
              <c:f>'Gap Profiles DATA'!$Q$26:$Q$32</c:f>
              <c:numCache>
                <c:formatCode>General</c:formatCode>
                <c:ptCount val="7"/>
                <c:pt idx="0">
                  <c:v>0.62543497045379015</c:v>
                </c:pt>
                <c:pt idx="1">
                  <c:v>0.68299929972174023</c:v>
                </c:pt>
                <c:pt idx="2">
                  <c:v>0.70571995621950612</c:v>
                </c:pt>
                <c:pt idx="3">
                  <c:v>0.8142042164957719</c:v>
                </c:pt>
                <c:pt idx="4">
                  <c:v>0.88546588175081364</c:v>
                </c:pt>
                <c:pt idx="5">
                  <c:v>0.96415713392237579</c:v>
                </c:pt>
                <c:pt idx="6">
                  <c:v>1.0740208330806975</c:v>
                </c:pt>
              </c:numCache>
            </c:numRef>
          </c:xVal>
          <c:yVal>
            <c:numRef>
              <c:f>'Gap Profiles DATA'!$J$26:$J$32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1.522834645669254E-2</c:v>
                </c:pt>
                <c:pt idx="2">
                  <c:v>1.9165354330708439E-2</c:v>
                </c:pt>
                <c:pt idx="3">
                  <c:v>3.4913385826772024E-2</c:v>
                </c:pt>
                <c:pt idx="4">
                  <c:v>4.934908136482969E-2</c:v>
                </c:pt>
                <c:pt idx="5">
                  <c:v>8.740682414698181E-2</c:v>
                </c:pt>
                <c:pt idx="6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E1B-45B1-90DC-489F94D4B9D8}"/>
            </c:ext>
          </c:extLst>
        </c:ser>
        <c:ser>
          <c:idx val="4"/>
          <c:order val="4"/>
          <c:tx>
            <c:v>        x** = 0.83</c:v>
          </c:tx>
          <c:spPr>
            <a:ln w="19050">
              <a:prstDash val="lgDash"/>
            </a:ln>
          </c:spPr>
          <c:marker>
            <c:symbol val="star"/>
            <c:size val="4"/>
            <c:spPr>
              <a:solidFill>
                <a:schemeClr val="accent5"/>
              </a:solidFill>
              <a:ln>
                <a:solidFill>
                  <a:schemeClr val="accent5"/>
                </a:solidFill>
              </a:ln>
            </c:spPr>
          </c:marker>
          <c:xVal>
            <c:numRef>
              <c:f>'Gap Profiles DATA'!$Q$66:$Q$74</c:f>
              <c:numCache>
                <c:formatCode>General</c:formatCode>
                <c:ptCount val="9"/>
                <c:pt idx="0">
                  <c:v>0.63522099167089119</c:v>
                </c:pt>
                <c:pt idx="1">
                  <c:v>0.7065409936225111</c:v>
                </c:pt>
                <c:pt idx="2">
                  <c:v>0.75628555691302068</c:v>
                </c:pt>
                <c:pt idx="3">
                  <c:v>0.85525354288156108</c:v>
                </c:pt>
                <c:pt idx="4">
                  <c:v>0.91439840679042073</c:v>
                </c:pt>
                <c:pt idx="5">
                  <c:v>0.94019768136585358</c:v>
                </c:pt>
                <c:pt idx="6">
                  <c:v>0.96324017995263722</c:v>
                </c:pt>
                <c:pt idx="7">
                  <c:v>0.99279758846834953</c:v>
                </c:pt>
                <c:pt idx="8">
                  <c:v>1.0560460736252244</c:v>
                </c:pt>
              </c:numCache>
            </c:numRef>
          </c:xVal>
          <c:yVal>
            <c:numRef>
              <c:f>'Gap Profiles DATA'!$J$66:$J$74</c:f>
              <c:numCache>
                <c:formatCode>General</c:formatCode>
                <c:ptCount val="9"/>
                <c:pt idx="0">
                  <c:v>8.6666666666666663E-3</c:v>
                </c:pt>
                <c:pt idx="1">
                  <c:v>2.1790026246719347E-2</c:v>
                </c:pt>
                <c:pt idx="2">
                  <c:v>3.0976377952756127E-2</c:v>
                </c:pt>
                <c:pt idx="3">
                  <c:v>5.4598425196850577E-2</c:v>
                </c:pt>
                <c:pt idx="4">
                  <c:v>7.4283464566929122E-2</c:v>
                </c:pt>
                <c:pt idx="5">
                  <c:v>8.740682414698181E-2</c:v>
                </c:pt>
                <c:pt idx="6">
                  <c:v>0.1005301837270345</c:v>
                </c:pt>
                <c:pt idx="7">
                  <c:v>0.12677690288713891</c:v>
                </c:pt>
                <c:pt idx="8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1B-45B1-90DC-489F94D4B9D8}"/>
            </c:ext>
          </c:extLst>
        </c:ser>
        <c:ser>
          <c:idx val="5"/>
          <c:order val="5"/>
          <c:tx>
            <c:v>        x** = 1.0</c:v>
          </c:tx>
          <c:spPr>
            <a:ln w="15875">
              <a:solidFill>
                <a:schemeClr val="tx2">
                  <a:lumMod val="40000"/>
                  <a:lumOff val="60000"/>
                </a:schemeClr>
              </a:solidFill>
              <a:prstDash val="dashDot"/>
            </a:ln>
          </c:spPr>
          <c:marker>
            <c:symbol val="circle"/>
            <c:size val="5"/>
            <c:spPr>
              <a:noFill/>
              <a:ln w="3175"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marker>
          <c:xVal>
            <c:numRef>
              <c:f>'Gap Profiles DATA'!$Q$40:$Q$46</c:f>
              <c:numCache>
                <c:formatCode>General</c:formatCode>
                <c:ptCount val="7"/>
                <c:pt idx="0">
                  <c:v>0.63710072394867867</c:v>
                </c:pt>
                <c:pt idx="1">
                  <c:v>0.76819520983492906</c:v>
                </c:pt>
                <c:pt idx="2">
                  <c:v>0.8511621132381878</c:v>
                </c:pt>
                <c:pt idx="3">
                  <c:v>0.95752080960361829</c:v>
                </c:pt>
                <c:pt idx="4">
                  <c:v>1.0032022773215514</c:v>
                </c:pt>
                <c:pt idx="5">
                  <c:v>1.025280041463178</c:v>
                </c:pt>
                <c:pt idx="6">
                  <c:v>1.0699715775426695</c:v>
                </c:pt>
              </c:numCache>
            </c:numRef>
          </c:xVal>
          <c:yVal>
            <c:numRef>
              <c:f>'Gap Profiles DATA'!$J$40:$J$46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3.4913385826772024E-2</c:v>
                </c:pt>
                <c:pt idx="2">
                  <c:v>5.4598425196850577E-2</c:v>
                </c:pt>
                <c:pt idx="3">
                  <c:v>9.3968503937008618E-2</c:v>
                </c:pt>
                <c:pt idx="4">
                  <c:v>0.12021522309711306</c:v>
                </c:pt>
                <c:pt idx="5">
                  <c:v>0.1464619422572184</c:v>
                </c:pt>
                <c:pt idx="6">
                  <c:v>0.1989553805774282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E1B-45B1-90DC-489F94D4B9D8}"/>
            </c:ext>
          </c:extLst>
        </c:ser>
        <c:ser>
          <c:idx val="7"/>
          <c:order val="6"/>
          <c:tx>
            <c:v>Q13 - x** = 0</c:v>
          </c:tx>
          <c:spPr>
            <a:ln w="15875">
              <a:noFill/>
              <a:prstDash val="lgDash"/>
            </a:ln>
          </c:spPr>
          <c:marker>
            <c:symbol val="circle"/>
            <c:size val="7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trendline>
            <c:spPr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  <c:trendlineType val="power"/>
            <c:dispRSqr val="0"/>
            <c:dispEq val="0"/>
          </c:trendline>
          <c:xVal>
            <c:numRef>
              <c:f>'Gap Profiles DATA'!$Q$106:$Q$110</c:f>
              <c:numCache>
                <c:formatCode>General</c:formatCode>
                <c:ptCount val="5"/>
                <c:pt idx="0">
                  <c:v>0.6573785925500274</c:v>
                </c:pt>
                <c:pt idx="1">
                  <c:v>0.73835650723403534</c:v>
                </c:pt>
                <c:pt idx="2">
                  <c:v>0.82599268485936395</c:v>
                </c:pt>
                <c:pt idx="3">
                  <c:v>0.92462913641438615</c:v>
                </c:pt>
                <c:pt idx="4">
                  <c:v>1.0699644600765181</c:v>
                </c:pt>
              </c:numCache>
            </c:numRef>
          </c:xVal>
          <c:yVal>
            <c:numRef>
              <c:f>'Gap Profiles DATA'!$J$106:$J$110</c:f>
              <c:numCache>
                <c:formatCode>General</c:formatCode>
                <c:ptCount val="5"/>
                <c:pt idx="0">
                  <c:v>8.6666666666666663E-3</c:v>
                </c:pt>
                <c:pt idx="1">
                  <c:v>2.3102362204724336E-2</c:v>
                </c:pt>
                <c:pt idx="2">
                  <c:v>6.2472440944881441E-2</c:v>
                </c:pt>
                <c:pt idx="3">
                  <c:v>0.1937060367454064</c:v>
                </c:pt>
                <c:pt idx="4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1B-45B1-90DC-489F94D4B9D8}"/>
            </c:ext>
          </c:extLst>
        </c:ser>
        <c:ser>
          <c:idx val="6"/>
          <c:order val="7"/>
          <c:tx>
            <c:v>           x** = 0.25</c:v>
          </c:tx>
          <c:spPr>
            <a:ln w="19050">
              <a:solidFill>
                <a:schemeClr val="accent6">
                  <a:lumMod val="75000"/>
                </a:schemeClr>
              </a:solidFill>
              <a:prstDash val="sysDot"/>
            </a:ln>
          </c:spPr>
          <c:marker>
            <c:symbol val="diamond"/>
            <c:size val="5"/>
            <c:spPr>
              <a:noFill/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'Gap Profiles DATA'!$Q$111:$Q$119</c:f>
              <c:numCache>
                <c:formatCode>General</c:formatCode>
                <c:ptCount val="9"/>
                <c:pt idx="0">
                  <c:v>0.59082289191913717</c:v>
                </c:pt>
                <c:pt idx="1">
                  <c:v>0.62440836793226784</c:v>
                </c:pt>
                <c:pt idx="2">
                  <c:v>0.66104389090822391</c:v>
                </c:pt>
                <c:pt idx="3">
                  <c:v>0.71063532109467176</c:v>
                </c:pt>
                <c:pt idx="4">
                  <c:v>0.73985569793997541</c:v>
                </c:pt>
                <c:pt idx="5">
                  <c:v>0.76352340800603136</c:v>
                </c:pt>
                <c:pt idx="6">
                  <c:v>0.81329987551449134</c:v>
                </c:pt>
                <c:pt idx="7">
                  <c:v>0.92044188344525235</c:v>
                </c:pt>
                <c:pt idx="8">
                  <c:v>1.0687987398242547</c:v>
                </c:pt>
              </c:numCache>
            </c:numRef>
          </c:xVal>
          <c:yVal>
            <c:numRef>
              <c:f>'Gap Profiles DATA'!$J$111:$J$119</c:f>
              <c:numCache>
                <c:formatCode>General</c:formatCode>
                <c:ptCount val="9"/>
                <c:pt idx="0">
                  <c:v>8.6666666666666663E-3</c:v>
                </c:pt>
                <c:pt idx="1">
                  <c:v>1.2603674540681632E-2</c:v>
                </c:pt>
                <c:pt idx="2">
                  <c:v>1.7853018372702516E-2</c:v>
                </c:pt>
                <c:pt idx="3">
                  <c:v>2.3102362204724336E-2</c:v>
                </c:pt>
                <c:pt idx="4">
                  <c:v>2.9664041994750204E-2</c:v>
                </c:pt>
                <c:pt idx="5">
                  <c:v>3.622572178477608E-2</c:v>
                </c:pt>
                <c:pt idx="6">
                  <c:v>6.2472440944881441E-2</c:v>
                </c:pt>
                <c:pt idx="7">
                  <c:v>0.1937060367454064</c:v>
                </c:pt>
                <c:pt idx="8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E1B-45B1-90DC-489F94D4B9D8}"/>
            </c:ext>
          </c:extLst>
        </c:ser>
        <c:ser>
          <c:idx val="8"/>
          <c:order val="8"/>
          <c:tx>
            <c:v>           x** = 0.50</c:v>
          </c:tx>
          <c:spPr>
            <a:ln w="19050">
              <a:solidFill>
                <a:schemeClr val="accent6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chemeClr val="accent6"/>
                </a:solidFill>
              </a:ln>
            </c:spPr>
          </c:marker>
          <c:xVal>
            <c:numRef>
              <c:f>'Gap Profiles DATA'!$Q$120:$Q$127</c:f>
              <c:numCache>
                <c:formatCode>General</c:formatCode>
                <c:ptCount val="8"/>
                <c:pt idx="0">
                  <c:v>0.56697628548147805</c:v>
                </c:pt>
                <c:pt idx="1">
                  <c:v>0.59401816931291873</c:v>
                </c:pt>
                <c:pt idx="2">
                  <c:v>0.62072504263580208</c:v>
                </c:pt>
                <c:pt idx="3">
                  <c:v>0.70071226979842316</c:v>
                </c:pt>
                <c:pt idx="4">
                  <c:v>0.7848925632181265</c:v>
                </c:pt>
                <c:pt idx="5">
                  <c:v>0.81786636380312183</c:v>
                </c:pt>
                <c:pt idx="6">
                  <c:v>0.97810902416308487</c:v>
                </c:pt>
                <c:pt idx="7">
                  <c:v>1.0739842892002858</c:v>
                </c:pt>
              </c:numCache>
            </c:numRef>
          </c:xVal>
          <c:yVal>
            <c:numRef>
              <c:f>'Gap Profiles DATA'!$J$120:$J$127</c:f>
              <c:numCache>
                <c:formatCode>General</c:formatCode>
                <c:ptCount val="8"/>
                <c:pt idx="0">
                  <c:v>8.6666666666666663E-3</c:v>
                </c:pt>
                <c:pt idx="1">
                  <c:v>1.2603674540681632E-2</c:v>
                </c:pt>
                <c:pt idx="2">
                  <c:v>1.6540682414697527E-2</c:v>
                </c:pt>
                <c:pt idx="3">
                  <c:v>2.9664041994750204E-2</c:v>
                </c:pt>
                <c:pt idx="4">
                  <c:v>4.934908136482876E-2</c:v>
                </c:pt>
                <c:pt idx="5">
                  <c:v>6.2472440944881441E-2</c:v>
                </c:pt>
                <c:pt idx="6">
                  <c:v>0.32493963254593133</c:v>
                </c:pt>
                <c:pt idx="7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FE1B-45B1-90DC-489F94D4B9D8}"/>
            </c:ext>
          </c:extLst>
        </c:ser>
        <c:ser>
          <c:idx val="9"/>
          <c:order val="9"/>
          <c:tx>
            <c:v>           x** = 0.83</c:v>
          </c:tx>
          <c:spPr>
            <a:ln w="19050">
              <a:solidFill>
                <a:schemeClr val="accent6"/>
              </a:solidFill>
              <a:prstDash val="dashDot"/>
            </a:ln>
          </c:spPr>
          <c:marker>
            <c:symbol val="square"/>
            <c:size val="5"/>
            <c:spPr>
              <a:solidFill>
                <a:schemeClr val="accent6"/>
              </a:solidFill>
              <a:ln>
                <a:solidFill>
                  <a:schemeClr val="accent6">
                    <a:lumMod val="60000"/>
                    <a:lumOff val="40000"/>
                  </a:schemeClr>
                </a:solidFill>
                <a:prstDash val="solid"/>
              </a:ln>
            </c:spPr>
          </c:marker>
          <c:xVal>
            <c:numRef>
              <c:f>'Gap Profiles DATA'!$Q$128:$Q$137</c:f>
              <c:numCache>
                <c:formatCode>General</c:formatCode>
                <c:ptCount val="10"/>
                <c:pt idx="0">
                  <c:v>0.57627370893278296</c:v>
                </c:pt>
                <c:pt idx="1">
                  <c:v>0.59591504221310243</c:v>
                </c:pt>
                <c:pt idx="2">
                  <c:v>0.62798016211120467</c:v>
                </c:pt>
                <c:pt idx="3">
                  <c:v>0.68953902479017237</c:v>
                </c:pt>
                <c:pt idx="4">
                  <c:v>0.72432749104498795</c:v>
                </c:pt>
                <c:pt idx="5">
                  <c:v>0.78132235253013127</c:v>
                </c:pt>
                <c:pt idx="6">
                  <c:v>0.80831415347194346</c:v>
                </c:pt>
                <c:pt idx="7">
                  <c:v>0.87064537056602698</c:v>
                </c:pt>
                <c:pt idx="8">
                  <c:v>0.92767554676262987</c:v>
                </c:pt>
                <c:pt idx="9">
                  <c:v>1.0711336416452506</c:v>
                </c:pt>
              </c:numCache>
            </c:numRef>
          </c:xVal>
          <c:yVal>
            <c:numRef>
              <c:f>'Gap Profiles DATA'!$J$128:$J$137</c:f>
              <c:numCache>
                <c:formatCode>General</c:formatCode>
                <c:ptCount val="10"/>
                <c:pt idx="0">
                  <c:v>8.6666666666666663E-3</c:v>
                </c:pt>
                <c:pt idx="1">
                  <c:v>1.6540682414697527E-2</c:v>
                </c:pt>
                <c:pt idx="2">
                  <c:v>2.3102362204724336E-2</c:v>
                </c:pt>
                <c:pt idx="3">
                  <c:v>3.622572178477608E-2</c:v>
                </c:pt>
                <c:pt idx="4">
                  <c:v>4.934908136482876E-2</c:v>
                </c:pt>
                <c:pt idx="5">
                  <c:v>6.2472440944881441E-2</c:v>
                </c:pt>
                <c:pt idx="6">
                  <c:v>7.5595800524934129E-2</c:v>
                </c:pt>
                <c:pt idx="7">
                  <c:v>0.11496587926509123</c:v>
                </c:pt>
                <c:pt idx="8">
                  <c:v>0.1937060367454064</c:v>
                </c:pt>
                <c:pt idx="9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E1B-45B1-90DC-489F94D4B9D8}"/>
            </c:ext>
          </c:extLst>
        </c:ser>
        <c:ser>
          <c:idx val="10"/>
          <c:order val="10"/>
          <c:tx>
            <c:v>Q9 - x** = 0</c:v>
          </c:tx>
          <c:spPr>
            <a:ln>
              <a:noFill/>
            </a:ln>
          </c:spPr>
          <c:marker>
            <c:symbol val="triangl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power"/>
            <c:dispRSqr val="0"/>
            <c:dispEq val="0"/>
          </c:trendline>
          <c:xVal>
            <c:numRef>
              <c:f>'Gap Profiles DATA'!$Q$138:$Q$142</c:f>
              <c:numCache>
                <c:formatCode>General</c:formatCode>
                <c:ptCount val="5"/>
                <c:pt idx="0">
                  <c:v>0.67016720492908888</c:v>
                </c:pt>
                <c:pt idx="1">
                  <c:v>0.7814028733705598</c:v>
                </c:pt>
                <c:pt idx="2">
                  <c:v>0.85095328336878673</c:v>
                </c:pt>
                <c:pt idx="3">
                  <c:v>0.95304462981451621</c:v>
                </c:pt>
                <c:pt idx="4">
                  <c:v>1.0880818913720334</c:v>
                </c:pt>
              </c:numCache>
            </c:numRef>
          </c:xVal>
          <c:yVal>
            <c:numRef>
              <c:f>'Gap Profiles DATA'!$J$138:$J$142</c:f>
              <c:numCache>
                <c:formatCode>General</c:formatCode>
                <c:ptCount val="5"/>
                <c:pt idx="0">
                  <c:v>1.7333333333333333E-2</c:v>
                </c:pt>
                <c:pt idx="1">
                  <c:v>6.9826771653544048E-2</c:v>
                </c:pt>
                <c:pt idx="2">
                  <c:v>0.14856692913385824</c:v>
                </c:pt>
                <c:pt idx="3">
                  <c:v>0.41103412073490814</c:v>
                </c:pt>
                <c:pt idx="4">
                  <c:v>1.3296692913385828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FE1B-45B1-90DC-489F94D4B9D8}"/>
            </c:ext>
          </c:extLst>
        </c:ser>
        <c:ser>
          <c:idx val="11"/>
          <c:order val="11"/>
          <c:tx>
            <c:v>         x** = 0.33</c:v>
          </c:tx>
          <c:spPr>
            <a:ln w="15875">
              <a:solidFill>
                <a:schemeClr val="tx1">
                  <a:lumMod val="65000"/>
                  <a:lumOff val="35000"/>
                </a:schemeClr>
              </a:solidFill>
              <a:prstDash val="sysDot"/>
            </a:ln>
          </c:spPr>
          <c:marker>
            <c:symbol val="triangle"/>
            <c:size val="5"/>
            <c:spPr>
              <a:noFill/>
              <a:ln w="3175">
                <a:solidFill>
                  <a:schemeClr val="tx1"/>
                </a:solidFill>
              </a:ln>
            </c:spPr>
          </c:marker>
          <c:xVal>
            <c:numRef>
              <c:f>'Gap Profiles DATA'!$Q$143:$Q$149</c:f>
              <c:numCache>
                <c:formatCode>General</c:formatCode>
                <c:ptCount val="7"/>
                <c:pt idx="0">
                  <c:v>0.5399453646135044</c:v>
                </c:pt>
                <c:pt idx="1">
                  <c:v>0.57884473631013089</c:v>
                </c:pt>
                <c:pt idx="2">
                  <c:v>0.71618888897978261</c:v>
                </c:pt>
                <c:pt idx="3">
                  <c:v>0.75394335906662591</c:v>
                </c:pt>
                <c:pt idx="4">
                  <c:v>0.76844392682468077</c:v>
                </c:pt>
                <c:pt idx="5">
                  <c:v>0.81233376678059499</c:v>
                </c:pt>
                <c:pt idx="6">
                  <c:v>1.0673515955398358</c:v>
                </c:pt>
              </c:numCache>
            </c:numRef>
          </c:xVal>
          <c:yVal>
            <c:numRef>
              <c:f>'Gap Profiles DATA'!$J$143:$J$149</c:f>
              <c:numCache>
                <c:formatCode>General</c:formatCode>
                <c:ptCount val="7"/>
                <c:pt idx="0">
                  <c:v>1.7333333333333333E-2</c:v>
                </c:pt>
                <c:pt idx="1">
                  <c:v>2.2582677165355152E-2</c:v>
                </c:pt>
                <c:pt idx="2">
                  <c:v>4.882939632545865E-2</c:v>
                </c:pt>
                <c:pt idx="3">
                  <c:v>6.1952755905512254E-2</c:v>
                </c:pt>
                <c:pt idx="4">
                  <c:v>6.9826771653544048E-2</c:v>
                </c:pt>
                <c:pt idx="5">
                  <c:v>9.6073490813647536E-2</c:v>
                </c:pt>
                <c:pt idx="6">
                  <c:v>1.1984356955380577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FE1B-45B1-90DC-489F94D4B9D8}"/>
            </c:ext>
          </c:extLst>
        </c:ser>
        <c:ser>
          <c:idx val="12"/>
          <c:order val="12"/>
          <c:tx>
            <c:v>         x** = 0.67</c:v>
          </c:tx>
          <c:spPr>
            <a:ln w="19050">
              <a:solidFill>
                <a:schemeClr val="bg2">
                  <a:lumMod val="75000"/>
                </a:schemeClr>
              </a:solidFill>
              <a:prstDash val="sysDash"/>
            </a:ln>
          </c:spPr>
          <c:marker>
            <c:symbol val="plus"/>
            <c:size val="5"/>
            <c:spPr>
              <a:ln w="15875"/>
            </c:spPr>
          </c:marker>
          <c:xVal>
            <c:numRef>
              <c:f>'Gap Profiles DATA'!$Q$150:$Q$157</c:f>
              <c:numCache>
                <c:formatCode>General</c:formatCode>
                <c:ptCount val="8"/>
                <c:pt idx="0">
                  <c:v>0.58650689246316878</c:v>
                </c:pt>
                <c:pt idx="1">
                  <c:v>0.59663570702987612</c:v>
                </c:pt>
                <c:pt idx="2">
                  <c:v>0.65796883123661587</c:v>
                </c:pt>
                <c:pt idx="3">
                  <c:v>0.79115469461937438</c:v>
                </c:pt>
                <c:pt idx="4">
                  <c:v>0.82242567494116559</c:v>
                </c:pt>
                <c:pt idx="5">
                  <c:v>0.87121143172968496</c:v>
                </c:pt>
                <c:pt idx="6">
                  <c:v>0.90911894422858475</c:v>
                </c:pt>
                <c:pt idx="7">
                  <c:v>1.0773964426571727</c:v>
                </c:pt>
              </c:numCache>
            </c:numRef>
          </c:xVal>
          <c:yVal>
            <c:numRef>
              <c:f>'Gap Profiles DATA'!$J$150:$J$157</c:f>
              <c:numCache>
                <c:formatCode>General</c:formatCode>
                <c:ptCount val="8"/>
                <c:pt idx="0">
                  <c:v>1.7333333333333333E-2</c:v>
                </c:pt>
                <c:pt idx="1">
                  <c:v>2.7832020997375102E-2</c:v>
                </c:pt>
                <c:pt idx="2">
                  <c:v>4.3580052493438694E-2</c:v>
                </c:pt>
                <c:pt idx="3">
                  <c:v>9.0824146981627593E-2</c:v>
                </c:pt>
                <c:pt idx="4">
                  <c:v>0.12232020997375291</c:v>
                </c:pt>
                <c:pt idx="5">
                  <c:v>0.20106036745406899</c:v>
                </c:pt>
                <c:pt idx="6">
                  <c:v>0.27980052493438318</c:v>
                </c:pt>
                <c:pt idx="7">
                  <c:v>1.3034225721784773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FE1B-45B1-90DC-489F94D4B9D8}"/>
            </c:ext>
          </c:extLst>
        </c:ser>
        <c:ser>
          <c:idx val="13"/>
          <c:order val="13"/>
          <c:tx>
            <c:v>         x** = 0.83</c:v>
          </c:tx>
          <c:spPr>
            <a:ln w="22225">
              <a:solidFill>
                <a:schemeClr val="bg1">
                  <a:lumMod val="75000"/>
                </a:schemeClr>
              </a:solidFill>
              <a:prstDash val="sysDash"/>
            </a:ln>
          </c:spPr>
          <c:marker>
            <c:symbol val="square"/>
            <c:size val="5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'Gap Profiles DATA'!$Q$158:$Q$168</c:f>
              <c:numCache>
                <c:formatCode>General</c:formatCode>
                <c:ptCount val="11"/>
                <c:pt idx="0">
                  <c:v>0.62859268208322039</c:v>
                </c:pt>
                <c:pt idx="1">
                  <c:v>0.62658267448866534</c:v>
                </c:pt>
                <c:pt idx="2">
                  <c:v>0.62758848297986836</c:v>
                </c:pt>
                <c:pt idx="3">
                  <c:v>0.63904150723127329</c:v>
                </c:pt>
                <c:pt idx="4">
                  <c:v>0.66373275944036159</c:v>
                </c:pt>
                <c:pt idx="5">
                  <c:v>0.68062279123401914</c:v>
                </c:pt>
                <c:pt idx="6">
                  <c:v>0.71276158140932788</c:v>
                </c:pt>
                <c:pt idx="7">
                  <c:v>0.75654697667291282</c:v>
                </c:pt>
                <c:pt idx="8">
                  <c:v>0.80697232163697474</c:v>
                </c:pt>
                <c:pt idx="9">
                  <c:v>0.84775717270158069</c:v>
                </c:pt>
                <c:pt idx="10">
                  <c:v>1.0432156209293082</c:v>
                </c:pt>
              </c:numCache>
            </c:numRef>
          </c:xVal>
          <c:yVal>
            <c:numRef>
              <c:f>'Gap Profiles DATA'!$J$158:$J$168</c:f>
              <c:numCache>
                <c:formatCode>General</c:formatCode>
                <c:ptCount val="11"/>
                <c:pt idx="0">
                  <c:v>1.7333333333333333E-2</c:v>
                </c:pt>
                <c:pt idx="1">
                  <c:v>2.2582677165355152E-2</c:v>
                </c:pt>
                <c:pt idx="2">
                  <c:v>2.7832020997375102E-2</c:v>
                </c:pt>
                <c:pt idx="3">
                  <c:v>3.3081364829396921E-2</c:v>
                </c:pt>
                <c:pt idx="4">
                  <c:v>3.8330708661416878E-2</c:v>
                </c:pt>
                <c:pt idx="5">
                  <c:v>4.3580052493438694E-2</c:v>
                </c:pt>
                <c:pt idx="6">
                  <c:v>5.4078740157480459E-2</c:v>
                </c:pt>
                <c:pt idx="7">
                  <c:v>6.9826771653544048E-2</c:v>
                </c:pt>
                <c:pt idx="8">
                  <c:v>9.6073490813647536E-2</c:v>
                </c:pt>
                <c:pt idx="9">
                  <c:v>0.13544356955380651</c:v>
                </c:pt>
                <c:pt idx="10">
                  <c:v>0.93596850393700792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FE1B-45B1-90DC-489F94D4B9D8}"/>
            </c:ext>
          </c:extLst>
        </c:ser>
        <c:ser>
          <c:idx val="14"/>
          <c:order val="14"/>
          <c:tx>
            <c:v>         x** = 1.0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  <a:prstDash val="lgDash"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'Gap Profiles DATA'!$Q$169:$Q$178</c:f>
              <c:numCache>
                <c:formatCode>General</c:formatCode>
                <c:ptCount val="10"/>
                <c:pt idx="0">
                  <c:v>0.6230892464555704</c:v>
                </c:pt>
                <c:pt idx="1">
                  <c:v>0.61953620802174003</c:v>
                </c:pt>
                <c:pt idx="2">
                  <c:v>0.61902696633519516</c:v>
                </c:pt>
                <c:pt idx="3">
                  <c:v>0.6230892464555704</c:v>
                </c:pt>
                <c:pt idx="4">
                  <c:v>0.63412634785523092</c:v>
                </c:pt>
                <c:pt idx="5">
                  <c:v>0.65081562445709595</c:v>
                </c:pt>
                <c:pt idx="6">
                  <c:v>0.69123337956181463</c:v>
                </c:pt>
                <c:pt idx="7">
                  <c:v>0.78118913521557476</c:v>
                </c:pt>
                <c:pt idx="8">
                  <c:v>0.83315262044388783</c:v>
                </c:pt>
                <c:pt idx="9">
                  <c:v>1.0525686945860575</c:v>
                </c:pt>
              </c:numCache>
            </c:numRef>
          </c:xVal>
          <c:yVal>
            <c:numRef>
              <c:f>'Gap Profiles DATA'!$J$169:$J$178</c:f>
              <c:numCache>
                <c:formatCode>General</c:formatCode>
                <c:ptCount val="10"/>
                <c:pt idx="0">
                  <c:v>1.7333333333333333E-2</c:v>
                </c:pt>
                <c:pt idx="1">
                  <c:v>2.2582677165355152E-2</c:v>
                </c:pt>
                <c:pt idx="2">
                  <c:v>2.7832020997375102E-2</c:v>
                </c:pt>
                <c:pt idx="3">
                  <c:v>3.3081364829396921E-2</c:v>
                </c:pt>
                <c:pt idx="4">
                  <c:v>3.8330708661416878E-2</c:v>
                </c:pt>
                <c:pt idx="5">
                  <c:v>4.3580052493438694E-2</c:v>
                </c:pt>
                <c:pt idx="6">
                  <c:v>5.6703412073490438E-2</c:v>
                </c:pt>
                <c:pt idx="7">
                  <c:v>9.6073490813647536E-2</c:v>
                </c:pt>
                <c:pt idx="8">
                  <c:v>0.13544356955380651</c:v>
                </c:pt>
                <c:pt idx="9">
                  <c:v>1.0672020997375327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FE1B-45B1-90DC-489F94D4B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1.2"/>
          <c:min val="0.1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 i="1"/>
                  <a:t>v*</a:t>
                </a:r>
                <a:r>
                  <a:rPr lang="en-US" b="0"/>
                  <a:t> = </a:t>
                </a:r>
                <a:r>
                  <a:rPr lang="en-US" b="0" i="1"/>
                  <a:t>v/V</a:t>
                </a:r>
                <a:r>
                  <a:rPr lang="en-US" b="0" i="0" baseline="-25000"/>
                  <a:t>avg</a:t>
                </a:r>
              </a:p>
            </c:rich>
          </c:tx>
          <c:layout>
            <c:manualLayout>
              <c:xMode val="edge"/>
              <c:yMode val="edge"/>
              <c:x val="0.45521370231405639"/>
              <c:y val="0.94007741032370951"/>
            </c:manualLayout>
          </c:layout>
          <c:overlay val="0"/>
        </c:title>
        <c:numFmt formatCode="General" sourceLinked="1"/>
        <c:majorTickMark val="in"/>
        <c:minorTickMark val="in"/>
        <c:tickLblPos val="low"/>
        <c:spPr>
          <a:ln>
            <a:solidFill>
              <a:schemeClr val="tx1"/>
            </a:solidFill>
          </a:ln>
        </c:spPr>
        <c:crossAx val="104412672"/>
        <c:crossesAt val="1.0000000000000002E-3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ajorGridlines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 i="1"/>
                  <a:t>y**</a:t>
                </a:r>
                <a:r>
                  <a:rPr lang="en-US" b="0"/>
                  <a:t> = </a:t>
                </a:r>
                <a:r>
                  <a:rPr lang="en-US" b="0" i="1"/>
                  <a:t>y/s</a:t>
                </a:r>
                <a:endParaRPr lang="en-US" b="0" i="1" baseline="-25000"/>
              </a:p>
            </c:rich>
          </c:tx>
          <c:layout>
            <c:manualLayout>
              <c:xMode val="edge"/>
              <c:yMode val="edge"/>
              <c:x val="3.88485522587044E-2"/>
              <c:y val="1.4514505686789152E-2"/>
            </c:manualLayout>
          </c:layout>
          <c:overlay val="0"/>
        </c:title>
        <c:numFmt formatCode="General" sourceLinked="1"/>
        <c:majorTickMark val="in"/>
        <c:minorTickMark val="in"/>
        <c:tickLblPos val="low"/>
        <c:spPr>
          <a:ln>
            <a:solidFill>
              <a:schemeClr val="tx1"/>
            </a:solidFill>
          </a:ln>
        </c:spPr>
        <c:crossAx val="104411136"/>
        <c:crossesAt val="0.1"/>
        <c:crossBetween val="midCat"/>
      </c:valAx>
      <c:spPr>
        <a:ln>
          <a:solidFill>
            <a:schemeClr val="tx1"/>
          </a:solidFill>
        </a:ln>
      </c:spPr>
    </c:plotArea>
    <c:legend>
      <c:legendPos val="r"/>
      <c:legendEntry>
        <c:idx val="15"/>
        <c:delete val="1"/>
      </c:legendEntry>
      <c:legendEntry>
        <c:idx val="16"/>
        <c:delete val="1"/>
      </c:legendEntry>
      <c:legendEntry>
        <c:idx val="17"/>
        <c:delete val="1"/>
      </c:legendEntry>
      <c:layout>
        <c:manualLayout>
          <c:xMode val="edge"/>
          <c:yMode val="edge"/>
          <c:x val="0.11465523063812591"/>
          <c:y val="0.12798041897376655"/>
          <c:w val="0.30179143993837576"/>
          <c:h val="0.68035049691822225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/>
      </a:pPr>
      <a:endParaRPr lang="en-US"/>
    </a:p>
  </c:txPr>
  <c:printSettings>
    <c:headerFooter/>
    <c:pageMargins b="0.25" l="0.25" r="0.25" t="0.25" header="0.3" footer="0.3"/>
    <c:pageSetup orientation="landscape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wer"/>
            <c:backward val="0.7400000000000001"/>
            <c:dispRSqr val="0"/>
            <c:dispEq val="1"/>
            <c:trendlineLbl>
              <c:layout>
                <c:manualLayout>
                  <c:x val="-0.3172337019370553"/>
                  <c:y val="0.1608015667553685"/>
                </c:manualLayout>
              </c:layout>
              <c:numFmt formatCode="#,##0.0000" sourceLinked="0"/>
            </c:trendlineLbl>
          </c:trendline>
          <c:xVal>
            <c:numRef>
              <c:f>delCharts!$C$3:$C$18</c:f>
              <c:numCache>
                <c:formatCode>General</c:formatCode>
                <c:ptCount val="16"/>
                <c:pt idx="0">
                  <c:v>0.75</c:v>
                </c:pt>
                <c:pt idx="1">
                  <c:v>0.75</c:v>
                </c:pt>
                <c:pt idx="2">
                  <c:v>0.75</c:v>
                </c:pt>
                <c:pt idx="3">
                  <c:v>1.5</c:v>
                </c:pt>
                <c:pt idx="4">
                  <c:v>2.5</c:v>
                </c:pt>
                <c:pt idx="5">
                  <c:v>0.5</c:v>
                </c:pt>
                <c:pt idx="6">
                  <c:v>1</c:v>
                </c:pt>
                <c:pt idx="7">
                  <c:v>1</c:v>
                </c:pt>
                <c:pt idx="8">
                  <c:v>1.5</c:v>
                </c:pt>
                <c:pt idx="9">
                  <c:v>2.25</c:v>
                </c:pt>
                <c:pt idx="10">
                  <c:v>2.5</c:v>
                </c:pt>
                <c:pt idx="11">
                  <c:v>3</c:v>
                </c:pt>
                <c:pt idx="12">
                  <c:v>0.5</c:v>
                </c:pt>
                <c:pt idx="13">
                  <c:v>1</c:v>
                </c:pt>
                <c:pt idx="14">
                  <c:v>1.25</c:v>
                </c:pt>
                <c:pt idx="15">
                  <c:v>1.5</c:v>
                </c:pt>
              </c:numCache>
            </c:numRef>
          </c:xVal>
          <c:yVal>
            <c:numRef>
              <c:f>delCharts!$F$3:$F$18</c:f>
              <c:numCache>
                <c:formatCode>General</c:formatCode>
                <c:ptCount val="16"/>
                <c:pt idx="0">
                  <c:v>6.0051250472739806E-2</c:v>
                </c:pt>
                <c:pt idx="1">
                  <c:v>5.9445962913246553E-2</c:v>
                </c:pt>
                <c:pt idx="2">
                  <c:v>9.3329862847676609E-2</c:v>
                </c:pt>
                <c:pt idx="3">
                  <c:v>0.15554977141279436</c:v>
                </c:pt>
                <c:pt idx="4">
                  <c:v>0.31109954282558872</c:v>
                </c:pt>
                <c:pt idx="5">
                  <c:v>5.9392449743886633E-2</c:v>
                </c:pt>
                <c:pt idx="6">
                  <c:v>9.8987416239811055E-2</c:v>
                </c:pt>
                <c:pt idx="7">
                  <c:v>0.13870724679757532</c:v>
                </c:pt>
                <c:pt idx="8">
                  <c:v>0.15012812618184954</c:v>
                </c:pt>
                <c:pt idx="9">
                  <c:v>0.22018791840004598</c:v>
                </c:pt>
                <c:pt idx="10">
                  <c:v>0.27741449359515064</c:v>
                </c:pt>
                <c:pt idx="11">
                  <c:v>0.29024771061824239</c:v>
                </c:pt>
                <c:pt idx="12">
                  <c:v>0.11149527847979682</c:v>
                </c:pt>
                <c:pt idx="13">
                  <c:v>0.14866037130639576</c:v>
                </c:pt>
                <c:pt idx="14">
                  <c:v>0.14866037130639576</c:v>
                </c:pt>
                <c:pt idx="15">
                  <c:v>0.19821382840852769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A1-4A9C-8037-38C3D35EC6C7}"/>
            </c:ext>
          </c:extLst>
        </c:ser>
        <c:ser>
          <c:idx val="1"/>
          <c:order val="1"/>
          <c:xVal>
            <c:numRef>
              <c:f>delCharts!$I$3:$I$4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xVal>
          <c:yVal>
            <c:numRef>
              <c:f>delCharts!$J$3:$J$4</c:f>
              <c:numCache>
                <c:formatCode>General</c:formatCode>
                <c:ptCount val="2"/>
                <c:pt idx="0">
                  <c:v>0</c:v>
                </c:pt>
                <c:pt idx="1">
                  <c:v>0.3446260453887503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4B-4725-803D-18F0D088A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726336"/>
        <c:axId val="151724416"/>
      </c:scatterChart>
      <c:valAx>
        <c:axId val="151726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Downstream Distance, x, inches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724416"/>
        <c:crosses val="autoZero"/>
        <c:crossBetween val="midCat"/>
      </c:valAx>
      <c:valAx>
        <c:axId val="151724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Symbol" panose="05050102010706020507" pitchFamily="18" charset="2"/>
                  </a:rPr>
                  <a:t>d</a:t>
                </a:r>
                <a:r>
                  <a:rPr lang="en-US"/>
                  <a:t>*, shear layer thickness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72633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15564147690563079"/>
                  <c:y val="0.14692459516565012"/>
                </c:manualLayout>
              </c:layout>
              <c:numFmt formatCode="#,##0.000000" sourceLinked="0"/>
            </c:trendlineLbl>
          </c:trendline>
          <c:xVal>
            <c:numRef>
              <c:f>delCharts!$C$3:$C$18</c:f>
              <c:numCache>
                <c:formatCode>General</c:formatCode>
                <c:ptCount val="16"/>
                <c:pt idx="0">
                  <c:v>0.75</c:v>
                </c:pt>
                <c:pt idx="1">
                  <c:v>0.75</c:v>
                </c:pt>
                <c:pt idx="2">
                  <c:v>0.75</c:v>
                </c:pt>
                <c:pt idx="3">
                  <c:v>1.5</c:v>
                </c:pt>
                <c:pt idx="4">
                  <c:v>2.5</c:v>
                </c:pt>
                <c:pt idx="5">
                  <c:v>0.5</c:v>
                </c:pt>
                <c:pt idx="6">
                  <c:v>1</c:v>
                </c:pt>
                <c:pt idx="7">
                  <c:v>1</c:v>
                </c:pt>
                <c:pt idx="8">
                  <c:v>1.5</c:v>
                </c:pt>
                <c:pt idx="9">
                  <c:v>2.25</c:v>
                </c:pt>
                <c:pt idx="10">
                  <c:v>2.5</c:v>
                </c:pt>
                <c:pt idx="11">
                  <c:v>3</c:v>
                </c:pt>
                <c:pt idx="12">
                  <c:v>0.5</c:v>
                </c:pt>
                <c:pt idx="13">
                  <c:v>1</c:v>
                </c:pt>
                <c:pt idx="14">
                  <c:v>1.25</c:v>
                </c:pt>
                <c:pt idx="15">
                  <c:v>1.5</c:v>
                </c:pt>
              </c:numCache>
            </c:numRef>
          </c:xVal>
          <c:yVal>
            <c:numRef>
              <c:f>delCharts!$G$3:$G$18</c:f>
              <c:numCache>
                <c:formatCode>General</c:formatCode>
                <c:ptCount val="16"/>
                <c:pt idx="0">
                  <c:v>8.0068333963653079E-2</c:v>
                </c:pt>
                <c:pt idx="1">
                  <c:v>7.9261283884328737E-2</c:v>
                </c:pt>
                <c:pt idx="2">
                  <c:v>0.12443981713023548</c:v>
                </c:pt>
                <c:pt idx="3">
                  <c:v>0.10369984760852957</c:v>
                </c:pt>
                <c:pt idx="4">
                  <c:v>0.12443981713023548</c:v>
                </c:pt>
                <c:pt idx="5">
                  <c:v>0.11878489948777327</c:v>
                </c:pt>
                <c:pt idx="6">
                  <c:v>9.8987416239811055E-2</c:v>
                </c:pt>
                <c:pt idx="7">
                  <c:v>0.13870724679757532</c:v>
                </c:pt>
                <c:pt idx="8">
                  <c:v>0.10008541745456635</c:v>
                </c:pt>
                <c:pt idx="9">
                  <c:v>9.78612970666871E-2</c:v>
                </c:pt>
                <c:pt idx="10">
                  <c:v>0.11096579743806026</c:v>
                </c:pt>
                <c:pt idx="11">
                  <c:v>9.674923687274746E-2</c:v>
                </c:pt>
                <c:pt idx="12">
                  <c:v>0.22299055695959363</c:v>
                </c:pt>
                <c:pt idx="13">
                  <c:v>0.14866037130639576</c:v>
                </c:pt>
                <c:pt idx="14">
                  <c:v>0.11892829704511661</c:v>
                </c:pt>
                <c:pt idx="15">
                  <c:v>0.1321425522723518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B2-4EB4-841E-51D0D148E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726336"/>
        <c:axId val="151724416"/>
      </c:scatterChart>
      <c:valAx>
        <c:axId val="151726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Downstream Distance, x, inches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724416"/>
        <c:crosses val="autoZero"/>
        <c:crossBetween val="midCat"/>
      </c:valAx>
      <c:valAx>
        <c:axId val="151724416"/>
        <c:scaling>
          <c:orientation val="minMax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baseline="0">
                    <a:latin typeface="Symbol" panose="05050102010706020507" pitchFamily="18" charset="2"/>
                  </a:rPr>
                  <a:t>d</a:t>
                </a:r>
                <a:r>
                  <a:rPr lang="en-US"/>
                  <a:t>*/x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72633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wer"/>
            <c:backward val="0.7400000000000001"/>
            <c:dispRSqr val="0"/>
            <c:dispEq val="1"/>
            <c:trendlineLbl>
              <c:layout>
                <c:manualLayout>
                  <c:x val="-0.3172337019370553"/>
                  <c:y val="0.1608015667553685"/>
                </c:manualLayout>
              </c:layout>
              <c:numFmt formatCode="#,##0.00" sourceLinked="0"/>
            </c:trendlineLbl>
          </c:trendline>
          <c:xVal>
            <c:numRef>
              <c:f>delCharts!$E$3:$E$18</c:f>
              <c:numCache>
                <c:formatCode>0</c:formatCode>
                <c:ptCount val="16"/>
                <c:pt idx="0">
                  <c:v>103844.84689669003</c:v>
                </c:pt>
                <c:pt idx="1">
                  <c:v>104933.4548217696</c:v>
                </c:pt>
                <c:pt idx="2">
                  <c:v>144831.77431218128</c:v>
                </c:pt>
                <c:pt idx="3">
                  <c:v>289663.54862436256</c:v>
                </c:pt>
                <c:pt idx="4">
                  <c:v>482772.58104060427</c:v>
                </c:pt>
                <c:pt idx="5">
                  <c:v>70305.503683976975</c:v>
                </c:pt>
                <c:pt idx="6">
                  <c:v>140611.00736795395</c:v>
                </c:pt>
                <c:pt idx="7">
                  <c:v>139911.2730956928</c:v>
                </c:pt>
                <c:pt idx="8">
                  <c:v>207689.69379338005</c:v>
                </c:pt>
                <c:pt idx="9">
                  <c:v>311534.54069007008</c:v>
                </c:pt>
                <c:pt idx="10">
                  <c:v>349778.18273923197</c:v>
                </c:pt>
                <c:pt idx="11">
                  <c:v>415379.3875867601</c:v>
                </c:pt>
                <c:pt idx="12">
                  <c:v>87944.656219467302</c:v>
                </c:pt>
                <c:pt idx="13">
                  <c:v>175889.3124389346</c:v>
                </c:pt>
                <c:pt idx="14">
                  <c:v>219861.64054866831</c:v>
                </c:pt>
                <c:pt idx="15">
                  <c:v>263833.96865840186</c:v>
                </c:pt>
              </c:numCache>
            </c:numRef>
          </c:xVal>
          <c:yVal>
            <c:numRef>
              <c:f>delCharts!$F$3:$F$18</c:f>
              <c:numCache>
                <c:formatCode>General</c:formatCode>
                <c:ptCount val="16"/>
                <c:pt idx="0">
                  <c:v>6.0051250472739806E-2</c:v>
                </c:pt>
                <c:pt idx="1">
                  <c:v>5.9445962913246553E-2</c:v>
                </c:pt>
                <c:pt idx="2">
                  <c:v>9.3329862847676609E-2</c:v>
                </c:pt>
                <c:pt idx="3">
                  <c:v>0.15554977141279436</c:v>
                </c:pt>
                <c:pt idx="4">
                  <c:v>0.31109954282558872</c:v>
                </c:pt>
                <c:pt idx="5">
                  <c:v>5.9392449743886633E-2</c:v>
                </c:pt>
                <c:pt idx="6">
                  <c:v>9.8987416239811055E-2</c:v>
                </c:pt>
                <c:pt idx="7">
                  <c:v>0.13870724679757532</c:v>
                </c:pt>
                <c:pt idx="8">
                  <c:v>0.15012812618184954</c:v>
                </c:pt>
                <c:pt idx="9">
                  <c:v>0.22018791840004598</c:v>
                </c:pt>
                <c:pt idx="10">
                  <c:v>0.27741449359515064</c:v>
                </c:pt>
                <c:pt idx="11">
                  <c:v>0.29024771061824239</c:v>
                </c:pt>
                <c:pt idx="12">
                  <c:v>0.11149527847979682</c:v>
                </c:pt>
                <c:pt idx="13">
                  <c:v>0.14866037130639576</c:v>
                </c:pt>
                <c:pt idx="14">
                  <c:v>0.14866037130639576</c:v>
                </c:pt>
                <c:pt idx="15">
                  <c:v>0.19821382840852769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57-4D28-A3A3-2BCEC7834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726336"/>
        <c:axId val="151724416"/>
      </c:scatterChart>
      <c:valAx>
        <c:axId val="151726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</a:t>
                </a:r>
                <a:r>
                  <a:rPr lang="en-US" baseline="-25000"/>
                  <a:t>x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51724416"/>
        <c:crosses val="autoZero"/>
        <c:crossBetween val="midCat"/>
      </c:valAx>
      <c:valAx>
        <c:axId val="151724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Symbol" panose="05050102010706020507" pitchFamily="18" charset="2"/>
                  </a:rPr>
                  <a:t>d</a:t>
                </a:r>
                <a:r>
                  <a:rPr lang="en-US"/>
                  <a:t>*, shear layer thickness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72633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564147690563079"/>
                  <c:y val="0.14692459516565012"/>
                </c:manualLayout>
              </c:layout>
              <c:numFmt formatCode="#,##0.000000" sourceLinked="0"/>
            </c:trendlineLbl>
          </c:trendline>
          <c:xVal>
            <c:numRef>
              <c:f>delCharts!$E$3:$E$18</c:f>
              <c:numCache>
                <c:formatCode>0</c:formatCode>
                <c:ptCount val="16"/>
                <c:pt idx="0">
                  <c:v>103844.84689669003</c:v>
                </c:pt>
                <c:pt idx="1">
                  <c:v>104933.4548217696</c:v>
                </c:pt>
                <c:pt idx="2">
                  <c:v>144831.77431218128</c:v>
                </c:pt>
                <c:pt idx="3">
                  <c:v>289663.54862436256</c:v>
                </c:pt>
                <c:pt idx="4">
                  <c:v>482772.58104060427</c:v>
                </c:pt>
                <c:pt idx="5">
                  <c:v>70305.503683976975</c:v>
                </c:pt>
                <c:pt idx="6">
                  <c:v>140611.00736795395</c:v>
                </c:pt>
                <c:pt idx="7">
                  <c:v>139911.2730956928</c:v>
                </c:pt>
                <c:pt idx="8">
                  <c:v>207689.69379338005</c:v>
                </c:pt>
                <c:pt idx="9">
                  <c:v>311534.54069007008</c:v>
                </c:pt>
                <c:pt idx="10">
                  <c:v>349778.18273923197</c:v>
                </c:pt>
                <c:pt idx="11">
                  <c:v>415379.3875867601</c:v>
                </c:pt>
                <c:pt idx="12">
                  <c:v>87944.656219467302</c:v>
                </c:pt>
                <c:pt idx="13">
                  <c:v>175889.3124389346</c:v>
                </c:pt>
                <c:pt idx="14">
                  <c:v>219861.64054866831</c:v>
                </c:pt>
                <c:pt idx="15">
                  <c:v>263833.96865840186</c:v>
                </c:pt>
              </c:numCache>
            </c:numRef>
          </c:xVal>
          <c:yVal>
            <c:numRef>
              <c:f>delCharts!$G$3:$G$18</c:f>
              <c:numCache>
                <c:formatCode>General</c:formatCode>
                <c:ptCount val="16"/>
                <c:pt idx="0">
                  <c:v>8.0068333963653079E-2</c:v>
                </c:pt>
                <c:pt idx="1">
                  <c:v>7.9261283884328737E-2</c:v>
                </c:pt>
                <c:pt idx="2">
                  <c:v>0.12443981713023548</c:v>
                </c:pt>
                <c:pt idx="3">
                  <c:v>0.10369984760852957</c:v>
                </c:pt>
                <c:pt idx="4">
                  <c:v>0.12443981713023548</c:v>
                </c:pt>
                <c:pt idx="5">
                  <c:v>0.11878489948777327</c:v>
                </c:pt>
                <c:pt idx="6">
                  <c:v>9.8987416239811055E-2</c:v>
                </c:pt>
                <c:pt idx="7">
                  <c:v>0.13870724679757532</c:v>
                </c:pt>
                <c:pt idx="8">
                  <c:v>0.10008541745456635</c:v>
                </c:pt>
                <c:pt idx="9">
                  <c:v>9.78612970666871E-2</c:v>
                </c:pt>
                <c:pt idx="10">
                  <c:v>0.11096579743806026</c:v>
                </c:pt>
                <c:pt idx="11">
                  <c:v>9.674923687274746E-2</c:v>
                </c:pt>
                <c:pt idx="12">
                  <c:v>0.22299055695959363</c:v>
                </c:pt>
                <c:pt idx="13">
                  <c:v>0.14866037130639576</c:v>
                </c:pt>
                <c:pt idx="14">
                  <c:v>0.11892829704511661</c:v>
                </c:pt>
                <c:pt idx="15">
                  <c:v>0.1321425522723518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C0-4CCF-96D0-844CFAD95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726336"/>
        <c:axId val="151724416"/>
      </c:scatterChart>
      <c:valAx>
        <c:axId val="151726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</a:t>
                </a:r>
                <a:r>
                  <a:rPr lang="en-US" baseline="-25000"/>
                  <a:t>x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51724416"/>
        <c:crosses val="autoZero"/>
        <c:crossBetween val="midCat"/>
      </c:valAx>
      <c:valAx>
        <c:axId val="151724416"/>
        <c:scaling>
          <c:orientation val="minMax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baseline="0">
                    <a:latin typeface="Symbol" panose="05050102010706020507" pitchFamily="18" charset="2"/>
                  </a:rPr>
                  <a:t>d</a:t>
                </a:r>
                <a:r>
                  <a:rPr lang="en-US"/>
                  <a:t>*/x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72633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'Depth profiles'!$BK$8</c:f>
              <c:strCache>
                <c:ptCount val="1"/>
                <c:pt idx="0">
                  <c:v>Vavg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317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0"/>
            <c:dispEq val="0"/>
          </c:trendline>
          <c:xVal>
            <c:numRef>
              <c:f>'Depth profiles'!$BL$10:$BL$41</c:f>
              <c:numCache>
                <c:formatCode>0.000</c:formatCode>
                <c:ptCount val="32"/>
                <c:pt idx="0">
                  <c:v>0.71112894319244357</c:v>
                </c:pt>
                <c:pt idx="1">
                  <c:v>0.76757157312964652</c:v>
                </c:pt>
                <c:pt idx="2">
                  <c:v>0.84760252689997539</c:v>
                </c:pt>
                <c:pt idx="3">
                  <c:v>0.94578748733984508</c:v>
                </c:pt>
                <c:pt idx="4">
                  <c:v>1.0599645558732331</c:v>
                </c:pt>
                <c:pt idx="5">
                  <c:v>1.1037131391899024</c:v>
                </c:pt>
                <c:pt idx="6">
                  <c:v>0.7220566355073833</c:v>
                </c:pt>
                <c:pt idx="7">
                  <c:v>0.78108006183523382</c:v>
                </c:pt>
                <c:pt idx="8">
                  <c:v>0.85946531251254099</c:v>
                </c:pt>
                <c:pt idx="9">
                  <c:v>0.93554798930248251</c:v>
                </c:pt>
                <c:pt idx="10">
                  <c:v>1.056168827007379</c:v>
                </c:pt>
                <c:pt idx="11">
                  <c:v>0.6573785925533927</c:v>
                </c:pt>
                <c:pt idx="12">
                  <c:v>0.73835650723783952</c:v>
                </c:pt>
                <c:pt idx="13">
                  <c:v>0.82599268486364086</c:v>
                </c:pt>
                <c:pt idx="14">
                  <c:v>0.92462913641919264</c:v>
                </c:pt>
                <c:pt idx="15">
                  <c:v>1.0699644600821021</c:v>
                </c:pt>
                <c:pt idx="16">
                  <c:v>0.71639572422632924</c:v>
                </c:pt>
                <c:pt idx="17">
                  <c:v>0.78224991535057975</c:v>
                </c:pt>
                <c:pt idx="18">
                  <c:v>0.86264844473871671</c:v>
                </c:pt>
                <c:pt idx="19">
                  <c:v>0.93564033014321368</c:v>
                </c:pt>
                <c:pt idx="20">
                  <c:v>1.0574523083695118</c:v>
                </c:pt>
                <c:pt idx="21">
                  <c:v>0.71433226199057531</c:v>
                </c:pt>
                <c:pt idx="22">
                  <c:v>0.76611949575548133</c:v>
                </c:pt>
                <c:pt idx="23">
                  <c:v>0.85342120106701536</c:v>
                </c:pt>
                <c:pt idx="24">
                  <c:v>0.94161734428074617</c:v>
                </c:pt>
                <c:pt idx="25">
                  <c:v>1.0632913308776715</c:v>
                </c:pt>
                <c:pt idx="26">
                  <c:v>0.66711541137630859</c:v>
                </c:pt>
                <c:pt idx="27">
                  <c:v>0.77878709545338165</c:v>
                </c:pt>
                <c:pt idx="28">
                  <c:v>0.8485519312386296</c:v>
                </c:pt>
                <c:pt idx="29">
                  <c:v>0.95090112837800334</c:v>
                </c:pt>
                <c:pt idx="30">
                  <c:v>1.0862049032587668</c:v>
                </c:pt>
              </c:numCache>
            </c:numRef>
          </c:xVal>
          <c:yVal>
            <c:numRef>
              <c:f>'Depth profiles'!$BJ$10:$BJ$41</c:f>
              <c:numCache>
                <c:formatCode>0.000</c:formatCode>
                <c:ptCount val="32"/>
                <c:pt idx="0">
                  <c:v>2.791615556366683E-2</c:v>
                </c:pt>
                <c:pt idx="1">
                  <c:v>4.7584395410910675E-2</c:v>
                </c:pt>
                <c:pt idx="2">
                  <c:v>0.10658911495264779</c:v>
                </c:pt>
                <c:pt idx="3">
                  <c:v>0.26393503373060695</c:v>
                </c:pt>
                <c:pt idx="4">
                  <c:v>0.65729983067550612</c:v>
                </c:pt>
                <c:pt idx="5">
                  <c:v>0.77530926975897485</c:v>
                </c:pt>
                <c:pt idx="6">
                  <c:v>2.6241797903566514E-2</c:v>
                </c:pt>
                <c:pt idx="7">
                  <c:v>4.6109906552540637E-2</c:v>
                </c:pt>
                <c:pt idx="8">
                  <c:v>0.10571423249946865</c:v>
                </c:pt>
                <c:pt idx="9">
                  <c:v>0.22492288439331906</c:v>
                </c:pt>
                <c:pt idx="10">
                  <c:v>0.62228505737282425</c:v>
                </c:pt>
                <c:pt idx="11">
                  <c:v>8.357453618772796E-3</c:v>
                </c:pt>
                <c:pt idx="12">
                  <c:v>2.2278106224239227E-2</c:v>
                </c:pt>
                <c:pt idx="13">
                  <c:v>6.0243522420965687E-2</c:v>
                </c:pt>
                <c:pt idx="14">
                  <c:v>0.18679490974338844</c:v>
                </c:pt>
                <c:pt idx="15">
                  <c:v>0.75627615269429072</c:v>
                </c:pt>
                <c:pt idx="16">
                  <c:v>2.6265964894997561E-2</c:v>
                </c:pt>
                <c:pt idx="17">
                  <c:v>5.0129651958894086E-2</c:v>
                </c:pt>
                <c:pt idx="18">
                  <c:v>0.1097888696186425</c:v>
                </c:pt>
                <c:pt idx="19">
                  <c:v>0.22910730493813364</c:v>
                </c:pt>
                <c:pt idx="20">
                  <c:v>0.62683542266977443</c:v>
                </c:pt>
                <c:pt idx="21">
                  <c:v>2.6139842468821152E-2</c:v>
                </c:pt>
                <c:pt idx="22">
                  <c:v>4.5930758935220056E-2</c:v>
                </c:pt>
                <c:pt idx="23">
                  <c:v>0.10530350833441958</c:v>
                </c:pt>
                <c:pt idx="24">
                  <c:v>0.24383992359922035</c:v>
                </c:pt>
                <c:pt idx="25">
                  <c:v>0.63965825292722089</c:v>
                </c:pt>
                <c:pt idx="26">
                  <c:v>1.079238525978843E-2</c:v>
                </c:pt>
                <c:pt idx="27">
                  <c:v>4.257226988746169E-2</c:v>
                </c:pt>
                <c:pt idx="28">
                  <c:v>9.0242096828970456E-2</c:v>
                </c:pt>
                <c:pt idx="29">
                  <c:v>0.24914151996733447</c:v>
                </c:pt>
                <c:pt idx="30">
                  <c:v>0.80528950095160856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6B-4C7A-BD7F-627318F6D309}"/>
            </c:ext>
          </c:extLst>
        </c:ser>
        <c:ser>
          <c:idx val="1"/>
          <c:order val="1"/>
          <c:tx>
            <c:v>Highlight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power"/>
            <c:backward val="0.5"/>
            <c:dispRSqr val="1"/>
            <c:dispEq val="1"/>
            <c:trendlineLbl>
              <c:layout>
                <c:manualLayout>
                  <c:x val="-0.15297444401349758"/>
                  <c:y val="1.0063748128676146E-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i="1" baseline="0"/>
                      <a:t>y/y</a:t>
                    </a:r>
                    <a:r>
                      <a:rPr lang="en-US" sz="1200" baseline="-25000"/>
                      <a:t>max</a:t>
                    </a:r>
                    <a:r>
                      <a:rPr lang="en-US" sz="1200" baseline="0"/>
                      <a:t> = 0.387(</a:t>
                    </a:r>
                    <a:r>
                      <a:rPr lang="en-US" sz="1200" i="1" baseline="0"/>
                      <a:t>V*</a:t>
                    </a:r>
                    <a:r>
                      <a:rPr lang="en-US" sz="1200" i="0" baseline="0"/>
                      <a:t>)</a:t>
                    </a:r>
                    <a:r>
                      <a:rPr lang="en-US" sz="1200" baseline="30000"/>
                      <a:t>8.711</a:t>
                    </a:r>
                    <a:br>
                      <a:rPr lang="en-US" sz="1200" baseline="0"/>
                    </a:br>
                    <a:r>
                      <a:rPr lang="en-US" sz="1200" baseline="0"/>
                      <a:t>R² = 0.999</a:t>
                    </a:r>
                    <a:endParaRPr lang="en-US" sz="1200"/>
                  </a:p>
                </c:rich>
              </c:tx>
              <c:numFmt formatCode="#,##0.000" sourceLinked="0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'Depth profiles'!$J$48:$J$87</c:f>
              <c:numCache>
                <c:formatCode>General</c:formatCode>
                <c:ptCount val="40"/>
                <c:pt idx="0">
                  <c:v>0.71112894319244357</c:v>
                </c:pt>
                <c:pt idx="1">
                  <c:v>0.76757157312964652</c:v>
                </c:pt>
                <c:pt idx="2">
                  <c:v>0.84760252689997539</c:v>
                </c:pt>
                <c:pt idx="3">
                  <c:v>0.94578748733984508</c:v>
                </c:pt>
                <c:pt idx="4">
                  <c:v>1.0599645558732331</c:v>
                </c:pt>
                <c:pt idx="5">
                  <c:v>1.1037131391899024</c:v>
                </c:pt>
                <c:pt idx="6">
                  <c:v>0.7220566355073833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'Depth profiles'!$I$48:$I$87</c:f>
              <c:numCache>
                <c:formatCode>General</c:formatCode>
                <c:ptCount val="40"/>
                <c:pt idx="0">
                  <c:v>2.791615556366683E-2</c:v>
                </c:pt>
                <c:pt idx="1">
                  <c:v>4.7584395410910675E-2</c:v>
                </c:pt>
                <c:pt idx="2">
                  <c:v>0.10658911495264779</c:v>
                </c:pt>
                <c:pt idx="3">
                  <c:v>0.26393503373060695</c:v>
                </c:pt>
                <c:pt idx="4">
                  <c:v>0.65729983067550612</c:v>
                </c:pt>
                <c:pt idx="5">
                  <c:v>0.77530926975897485</c:v>
                </c:pt>
                <c:pt idx="6">
                  <c:v>2.6241797903566514E-2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B6B-4C7A-BD7F-627318F6D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474688"/>
        <c:axId val="213480960"/>
      </c:scatterChart>
      <c:valAx>
        <c:axId val="213474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Dimensionless Velocity, </a:t>
                </a:r>
                <a:r>
                  <a:rPr lang="en-US" i="1"/>
                  <a:t>V</a:t>
                </a:r>
                <a:r>
                  <a:rPr lang="en-US"/>
                  <a:t>* = </a:t>
                </a:r>
                <a:r>
                  <a:rPr lang="en-US" i="1"/>
                  <a:t>V/V</a:t>
                </a:r>
                <a:r>
                  <a:rPr lang="en-US" baseline="-25000"/>
                  <a:t>avg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480960"/>
        <c:crosses val="autoZero"/>
        <c:crossBetween val="midCat"/>
      </c:valAx>
      <c:valAx>
        <c:axId val="213480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Dimensionless Depth, </a:t>
                </a:r>
                <a:r>
                  <a:rPr lang="en-US" i="1"/>
                  <a:t>y/y</a:t>
                </a:r>
                <a:r>
                  <a:rPr lang="en-US" baseline="-25000"/>
                  <a:t>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4746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3596512075768175"/>
          <c:y val="0.55772468402096553"/>
          <c:w val="0.34358804446330921"/>
          <c:h val="0.1751233259981908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v>Highlight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power"/>
            <c:backward val="0.5"/>
            <c:dispRSqr val="0"/>
            <c:dispEq val="0"/>
          </c:trendline>
          <c:xVal>
            <c:numRef>
              <c:f>'Depth profiles'!$J$48:$J$87</c:f>
              <c:numCache>
                <c:formatCode>General</c:formatCode>
                <c:ptCount val="40"/>
                <c:pt idx="0">
                  <c:v>0.71112894319244357</c:v>
                </c:pt>
                <c:pt idx="1">
                  <c:v>0.76757157312964652</c:v>
                </c:pt>
                <c:pt idx="2">
                  <c:v>0.84760252689997539</c:v>
                </c:pt>
                <c:pt idx="3">
                  <c:v>0.94578748733984508</c:v>
                </c:pt>
                <c:pt idx="4">
                  <c:v>1.0599645558732331</c:v>
                </c:pt>
                <c:pt idx="5">
                  <c:v>1.1037131391899024</c:v>
                </c:pt>
                <c:pt idx="6">
                  <c:v>0.7220566355073833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'Depth profiles'!$I$48:$I$87</c:f>
              <c:numCache>
                <c:formatCode>General</c:formatCode>
                <c:ptCount val="40"/>
                <c:pt idx="0">
                  <c:v>2.791615556366683E-2</c:v>
                </c:pt>
                <c:pt idx="1">
                  <c:v>4.7584395410910675E-2</c:v>
                </c:pt>
                <c:pt idx="2">
                  <c:v>0.10658911495264779</c:v>
                </c:pt>
                <c:pt idx="3">
                  <c:v>0.26393503373060695</c:v>
                </c:pt>
                <c:pt idx="4">
                  <c:v>0.65729983067550612</c:v>
                </c:pt>
                <c:pt idx="5">
                  <c:v>0.77530926975897485</c:v>
                </c:pt>
                <c:pt idx="6">
                  <c:v>2.6241797903566514E-2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35-40E3-AE4E-31302C4A5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474688"/>
        <c:axId val="213480960"/>
      </c:scatterChart>
      <c:valAx>
        <c:axId val="213474688"/>
        <c:scaling>
          <c:logBase val="10"/>
          <c:orientation val="minMax"/>
          <c:max val="1.5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Dimensionless Velocity, </a:t>
                </a:r>
                <a:r>
                  <a:rPr lang="en-US" i="1"/>
                  <a:t>V</a:t>
                </a:r>
                <a:r>
                  <a:rPr lang="en-US"/>
                  <a:t>* = </a:t>
                </a:r>
                <a:r>
                  <a:rPr lang="en-US" i="1"/>
                  <a:t>V/V</a:t>
                </a:r>
                <a:r>
                  <a:rPr lang="en-US" baseline="-25000"/>
                  <a:t>avg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480960"/>
        <c:crosses val="autoZero"/>
        <c:crossBetween val="midCat"/>
      </c:valAx>
      <c:valAx>
        <c:axId val="213480960"/>
        <c:scaling>
          <c:logBase val="10"/>
          <c:orientation val="minMax"/>
          <c:min val="1.0000000000000002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Dimensionless Depth, </a:t>
                </a:r>
                <a:r>
                  <a:rPr lang="en-US" i="1"/>
                  <a:t>y/y</a:t>
                </a:r>
                <a:r>
                  <a:rPr lang="en-US" baseline="-25000"/>
                  <a:t>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474688"/>
        <c:crossesAt val="0.5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25089868578545"/>
          <c:y val="3.8140630924188318E-2"/>
          <c:w val="0.81666335908884791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Q=13, ZERO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DATA'!$Q$106:$Q$110</c:f>
              <c:numCache>
                <c:formatCode>General</c:formatCode>
                <c:ptCount val="5"/>
                <c:pt idx="0">
                  <c:v>0.6573785925500274</c:v>
                </c:pt>
                <c:pt idx="1">
                  <c:v>0.73835650723403534</c:v>
                </c:pt>
                <c:pt idx="2">
                  <c:v>0.82599268485936395</c:v>
                </c:pt>
                <c:pt idx="3">
                  <c:v>0.92462913641438615</c:v>
                </c:pt>
                <c:pt idx="4">
                  <c:v>1.0699644600765181</c:v>
                </c:pt>
              </c:numCache>
            </c:numRef>
          </c:xVal>
          <c:yVal>
            <c:numRef>
              <c:f>'Gap Profiles DATA'!$P$106:$P$110</c:f>
              <c:numCache>
                <c:formatCode>General</c:formatCode>
                <c:ptCount val="5"/>
                <c:pt idx="0">
                  <c:v>8.3574536188169013E-3</c:v>
                </c:pt>
                <c:pt idx="1">
                  <c:v>2.2278106224356792E-2</c:v>
                </c:pt>
                <c:pt idx="2">
                  <c:v>6.0243522421283606E-2</c:v>
                </c:pt>
                <c:pt idx="3">
                  <c:v>0.18679490974437421</c:v>
                </c:pt>
                <c:pt idx="4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B0D-47C2-A8CE-2C06085D68F5}"/>
            </c:ext>
          </c:extLst>
        </c:ser>
        <c:ser>
          <c:idx val="0"/>
          <c:order val="1"/>
          <c:tx>
            <c:v>Q=13, 0.75-inch</c:v>
          </c:tx>
          <c:xVal>
            <c:numRef>
              <c:f>'Gap Profiles DATA'!$Q$111:$Q$119</c:f>
              <c:numCache>
                <c:formatCode>General</c:formatCode>
                <c:ptCount val="9"/>
                <c:pt idx="0">
                  <c:v>0.59082289191913717</c:v>
                </c:pt>
                <c:pt idx="1">
                  <c:v>0.62440836793226784</c:v>
                </c:pt>
                <c:pt idx="2">
                  <c:v>0.66104389090822391</c:v>
                </c:pt>
                <c:pt idx="3">
                  <c:v>0.71063532109467176</c:v>
                </c:pt>
                <c:pt idx="4">
                  <c:v>0.73985569793997541</c:v>
                </c:pt>
                <c:pt idx="5">
                  <c:v>0.76352340800603136</c:v>
                </c:pt>
                <c:pt idx="6">
                  <c:v>0.81329987551449134</c:v>
                </c:pt>
                <c:pt idx="7">
                  <c:v>0.92044188344525235</c:v>
                </c:pt>
                <c:pt idx="8">
                  <c:v>1.0687987398242547</c:v>
                </c:pt>
              </c:numCache>
            </c:numRef>
          </c:xVal>
          <c:yVal>
            <c:numRef>
              <c:f>'Gap Profiles DATA'!$P$111:$P$119</c:f>
              <c:numCache>
                <c:formatCode>General</c:formatCode>
                <c:ptCount val="9"/>
                <c:pt idx="0">
                  <c:v>8.3574536188169013E-3</c:v>
                </c:pt>
                <c:pt idx="1">
                  <c:v>1.2153995238508864E-2</c:v>
                </c:pt>
                <c:pt idx="2">
                  <c:v>1.7216050731432377E-2</c:v>
                </c:pt>
                <c:pt idx="3">
                  <c:v>2.2278106224356792E-2</c:v>
                </c:pt>
                <c:pt idx="4">
                  <c:v>2.8605675590510957E-2</c:v>
                </c:pt>
                <c:pt idx="5">
                  <c:v>3.4933244956665131E-2</c:v>
                </c:pt>
                <c:pt idx="6">
                  <c:v>6.0243522421283606E-2</c:v>
                </c:pt>
                <c:pt idx="7">
                  <c:v>0.18679490974437421</c:v>
                </c:pt>
                <c:pt idx="8">
                  <c:v>0.75627615269828163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0D-47C2-A8CE-2C06085D68F5}"/>
            </c:ext>
          </c:extLst>
        </c:ser>
        <c:ser>
          <c:idx val="2"/>
          <c:order val="2"/>
          <c:tx>
            <c:v>Q=13, 1.5-inch</c:v>
          </c:tx>
          <c:xVal>
            <c:numRef>
              <c:f>'Gap Profiles DATA'!$Q$120:$Q$127</c:f>
              <c:numCache>
                <c:formatCode>General</c:formatCode>
                <c:ptCount val="8"/>
                <c:pt idx="0">
                  <c:v>0.56697628548147805</c:v>
                </c:pt>
                <c:pt idx="1">
                  <c:v>0.59401816931291873</c:v>
                </c:pt>
                <c:pt idx="2">
                  <c:v>0.62072504263580208</c:v>
                </c:pt>
                <c:pt idx="3">
                  <c:v>0.70071226979842316</c:v>
                </c:pt>
                <c:pt idx="4">
                  <c:v>0.7848925632181265</c:v>
                </c:pt>
                <c:pt idx="5">
                  <c:v>0.81786636380312183</c:v>
                </c:pt>
                <c:pt idx="6">
                  <c:v>0.97810902416308487</c:v>
                </c:pt>
                <c:pt idx="7">
                  <c:v>1.0739842892002858</c:v>
                </c:pt>
              </c:numCache>
            </c:numRef>
          </c:xVal>
          <c:yVal>
            <c:numRef>
              <c:f>'Gap Profiles DATA'!$P$120:$P$127</c:f>
              <c:numCache>
                <c:formatCode>General</c:formatCode>
                <c:ptCount val="8"/>
                <c:pt idx="0">
                  <c:v>8.3574536188169013E-3</c:v>
                </c:pt>
                <c:pt idx="1">
                  <c:v>1.2153995238508864E-2</c:v>
                </c:pt>
                <c:pt idx="2">
                  <c:v>1.5950536858201723E-2</c:v>
                </c:pt>
                <c:pt idx="3">
                  <c:v>2.8605675590510957E-2</c:v>
                </c:pt>
                <c:pt idx="4">
                  <c:v>4.7588383688974369E-2</c:v>
                </c:pt>
                <c:pt idx="5">
                  <c:v>6.0243522421283606E-2</c:v>
                </c:pt>
                <c:pt idx="6">
                  <c:v>0.31334629706746475</c:v>
                </c:pt>
                <c:pt idx="7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29-4DDF-BD3C-49251AC83043}"/>
            </c:ext>
          </c:extLst>
        </c:ser>
        <c:ser>
          <c:idx val="4"/>
          <c:order val="3"/>
          <c:tx>
            <c:v>Q=13, 2.5-inch</c:v>
          </c:tx>
          <c:xVal>
            <c:numRef>
              <c:f>'Gap Profiles DATA'!$Q$128:$Q$137</c:f>
              <c:numCache>
                <c:formatCode>General</c:formatCode>
                <c:ptCount val="10"/>
                <c:pt idx="0">
                  <c:v>0.57627370893278296</c:v>
                </c:pt>
                <c:pt idx="1">
                  <c:v>0.59591504221310243</c:v>
                </c:pt>
                <c:pt idx="2">
                  <c:v>0.62798016211120467</c:v>
                </c:pt>
                <c:pt idx="3">
                  <c:v>0.68953902479017237</c:v>
                </c:pt>
                <c:pt idx="4">
                  <c:v>0.72432749104498795</c:v>
                </c:pt>
                <c:pt idx="5">
                  <c:v>0.78132235253013127</c:v>
                </c:pt>
                <c:pt idx="6">
                  <c:v>0.80831415347194346</c:v>
                </c:pt>
                <c:pt idx="7">
                  <c:v>0.87064537056602698</c:v>
                </c:pt>
                <c:pt idx="8">
                  <c:v>0.92767554676262987</c:v>
                </c:pt>
                <c:pt idx="9">
                  <c:v>1.0711336416452506</c:v>
                </c:pt>
              </c:numCache>
            </c:numRef>
          </c:xVal>
          <c:yVal>
            <c:numRef>
              <c:f>'Gap Profiles DATA'!$P$128:$P$137</c:f>
              <c:numCache>
                <c:formatCode>General</c:formatCode>
                <c:ptCount val="10"/>
                <c:pt idx="0">
                  <c:v>8.3574536188169013E-3</c:v>
                </c:pt>
                <c:pt idx="1">
                  <c:v>1.5950536858201723E-2</c:v>
                </c:pt>
                <c:pt idx="2">
                  <c:v>2.2278106224356792E-2</c:v>
                </c:pt>
                <c:pt idx="3">
                  <c:v>3.4933244956665131E-2</c:v>
                </c:pt>
                <c:pt idx="4">
                  <c:v>4.7588383688974369E-2</c:v>
                </c:pt>
                <c:pt idx="5">
                  <c:v>6.0243522421283606E-2</c:v>
                </c:pt>
                <c:pt idx="6">
                  <c:v>7.289866115359285E-2</c:v>
                </c:pt>
                <c:pt idx="7">
                  <c:v>0.11086407735051966</c:v>
                </c:pt>
                <c:pt idx="8">
                  <c:v>0.18679490974437421</c:v>
                </c:pt>
                <c:pt idx="9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B0D-47C2-A8CE-2C06085D6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1.5"/>
          <c:min val="0.5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25089868578545"/>
          <c:y val="3.8140630924188318E-2"/>
          <c:w val="0.81666335908884791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chute profile, x=0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DATA'!$Q$75:$Q$79</c:f>
              <c:numCache>
                <c:formatCode>General</c:formatCode>
                <c:ptCount val="5"/>
                <c:pt idx="0">
                  <c:v>0.71639572422670494</c:v>
                </c:pt>
                <c:pt idx="1">
                  <c:v>0.78224991535099098</c:v>
                </c:pt>
                <c:pt idx="2">
                  <c:v>0.86264844473917135</c:v>
                </c:pt>
                <c:pt idx="3">
                  <c:v>0.93564033014370762</c:v>
                </c:pt>
                <c:pt idx="4">
                  <c:v>1.0574523083700711</c:v>
                </c:pt>
              </c:numCache>
            </c:numRef>
          </c:xVal>
          <c:yVal>
            <c:numRef>
              <c:f>'Gap Profiles DATA'!$P$75:$P$79</c:f>
              <c:numCache>
                <c:formatCode>General</c:formatCode>
                <c:ptCount val="5"/>
                <c:pt idx="0">
                  <c:v>2.6265964894983531E-2</c:v>
                </c:pt>
                <c:pt idx="1">
                  <c:v>5.0129651958867309E-2</c:v>
                </c:pt>
                <c:pt idx="2">
                  <c:v>0.10978886961858385</c:v>
                </c:pt>
                <c:pt idx="3">
                  <c:v>0.22910730493801126</c:v>
                </c:pt>
                <c:pt idx="4">
                  <c:v>0.62683542266943959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87-4099-A222-BC6220781AFB}"/>
            </c:ext>
          </c:extLst>
        </c:ser>
        <c:ser>
          <c:idx val="0"/>
          <c:order val="1"/>
          <c:tx>
            <c:v>x=1/4-inch</c:v>
          </c:tx>
          <c:xVal>
            <c:numRef>
              <c:f>'Gap Profiles DATA'!$Q$80:$Q$82</c:f>
              <c:numCache>
                <c:formatCode>General</c:formatCode>
                <c:ptCount val="3"/>
                <c:pt idx="0">
                  <c:v>0.73346659426992811</c:v>
                </c:pt>
                <c:pt idx="1">
                  <c:v>0.78670246214087547</c:v>
                </c:pt>
                <c:pt idx="2">
                  <c:v>0.86154853862619063</c:v>
                </c:pt>
              </c:numCache>
            </c:numRef>
          </c:xVal>
          <c:yVal>
            <c:numRef>
              <c:f>'Gap Profiles DATA'!$P$80:$P$82</c:f>
              <c:numCache>
                <c:formatCode>General</c:formatCode>
                <c:ptCount val="3"/>
                <c:pt idx="0">
                  <c:v>2.6265964894983531E-2</c:v>
                </c:pt>
                <c:pt idx="1">
                  <c:v>5.0129651958867309E-2</c:v>
                </c:pt>
                <c:pt idx="2">
                  <c:v>0.10978886961858385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787-4099-A222-BC6220781AFB}"/>
            </c:ext>
          </c:extLst>
        </c:ser>
        <c:ser>
          <c:idx val="2"/>
          <c:order val="2"/>
          <c:tx>
            <c:v>x=1/2-inch</c:v>
          </c:tx>
          <c:xVal>
            <c:numRef>
              <c:f>'Gap Profiles DATA'!$Q$83:$Q$87</c:f>
              <c:numCache>
                <c:formatCode>General</c:formatCode>
                <c:ptCount val="5"/>
                <c:pt idx="0">
                  <c:v>0.68119861989967512</c:v>
                </c:pt>
                <c:pt idx="1">
                  <c:v>0.72062412790855501</c:v>
                </c:pt>
                <c:pt idx="2">
                  <c:v>0.76706166713465385</c:v>
                </c:pt>
                <c:pt idx="3">
                  <c:v>0.85815018834227708</c:v>
                </c:pt>
                <c:pt idx="4">
                  <c:v>0.93361122411175734</c:v>
                </c:pt>
              </c:numCache>
            </c:numRef>
          </c:xVal>
          <c:yVal>
            <c:numRef>
              <c:f>'Gap Profiles DATA'!$P$83:$P$87</c:f>
              <c:numCache>
                <c:formatCode>General</c:formatCode>
                <c:ptCount val="5"/>
                <c:pt idx="0">
                  <c:v>2.6265964894983531E-2</c:v>
                </c:pt>
                <c:pt idx="1">
                  <c:v>3.8197808426926834E-2</c:v>
                </c:pt>
                <c:pt idx="2">
                  <c:v>5.0129651958867309E-2</c:v>
                </c:pt>
                <c:pt idx="3">
                  <c:v>0.10978886961858385</c:v>
                </c:pt>
                <c:pt idx="4">
                  <c:v>0.22910730493801126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87-4099-A222-BC6220781AFB}"/>
            </c:ext>
          </c:extLst>
        </c:ser>
        <c:ser>
          <c:idx val="4"/>
          <c:order val="3"/>
          <c:tx>
            <c:v>x=1-inch</c:v>
          </c:tx>
          <c:xVal>
            <c:numRef>
              <c:f>'Gap Profiles DATA'!$Q$88:$Q$93</c:f>
              <c:numCache>
                <c:formatCode>General</c:formatCode>
                <c:ptCount val="6"/>
                <c:pt idx="0">
                  <c:v>0.69137777480693496</c:v>
                </c:pt>
                <c:pt idx="1">
                  <c:v>0.72550834228242267</c:v>
                </c:pt>
                <c:pt idx="2">
                  <c:v>0.75484228626049643</c:v>
                </c:pt>
                <c:pt idx="3">
                  <c:v>0.80175995687328727</c:v>
                </c:pt>
                <c:pt idx="4">
                  <c:v>0.85824036260418701</c:v>
                </c:pt>
                <c:pt idx="5">
                  <c:v>0.93475051963936417</c:v>
                </c:pt>
              </c:numCache>
            </c:numRef>
          </c:xVal>
          <c:yVal>
            <c:numRef>
              <c:f>'Gap Profiles DATA'!$P$88:$P$93</c:f>
              <c:numCache>
                <c:formatCode>General</c:formatCode>
                <c:ptCount val="6"/>
                <c:pt idx="0">
                  <c:v>2.6265964894983531E-2</c:v>
                </c:pt>
                <c:pt idx="1">
                  <c:v>3.8197808426926834E-2</c:v>
                </c:pt>
                <c:pt idx="2">
                  <c:v>5.0129651958867309E-2</c:v>
                </c:pt>
                <c:pt idx="3">
                  <c:v>7.0016057845440433E-2</c:v>
                </c:pt>
                <c:pt idx="4">
                  <c:v>0.10978886961858385</c:v>
                </c:pt>
                <c:pt idx="5">
                  <c:v>0.22910730493801126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87-4099-A222-BC6220781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2"/>
          <c:min val="0.60000000000000009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ayout>
        <c:manualLayout>
          <c:xMode val="edge"/>
          <c:yMode val="edge"/>
          <c:x val="0.62540052403010227"/>
          <c:y val="0.23919480672006635"/>
          <c:w val="0.23048433267874222"/>
          <c:h val="0.47216664487551629"/>
        </c:manualLayout>
      </c:layout>
      <c:overlay val="0"/>
      <c:spPr>
        <a:solidFill>
          <a:sysClr val="window" lastClr="FFFFFF"/>
        </a:solidFill>
      </c:spPr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25089868578545"/>
          <c:y val="3.8140630924188318E-2"/>
          <c:w val="0.81666335908884791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Q=3, ZERO profile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DATA'!$Q$47:$Q$51</c:f>
              <c:numCache>
                <c:formatCode>General</c:formatCode>
                <c:ptCount val="5"/>
                <c:pt idx="0">
                  <c:v>0.72204248064779841</c:v>
                </c:pt>
                <c:pt idx="1">
                  <c:v>0.78106471542875444</c:v>
                </c:pt>
                <c:pt idx="2">
                  <c:v>0.85944838720520744</c:v>
                </c:pt>
                <c:pt idx="3">
                  <c:v>0.93552953443612585</c:v>
                </c:pt>
                <c:pt idx="4">
                  <c:v>1.0561479516125869</c:v>
                </c:pt>
              </c:numCache>
            </c:numRef>
          </c:xVal>
          <c:yVal>
            <c:numRef>
              <c:f>'Gap Profiles DATA'!$P$47:$P$51</c:f>
              <c:numCache>
                <c:formatCode>General</c:formatCode>
                <c:ptCount val="5"/>
                <c:pt idx="0">
                  <c:v>2.6242320311584685E-2</c:v>
                </c:pt>
                <c:pt idx="1">
                  <c:v>4.6110824484497458E-2</c:v>
                </c:pt>
                <c:pt idx="2">
                  <c:v>0.10571633700324143</c:v>
                </c:pt>
                <c:pt idx="3">
                  <c:v>0.22492736204072369</c:v>
                </c:pt>
                <c:pt idx="4">
                  <c:v>0.62229744549900179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C0A-4538-A9F8-17B849A982BC}"/>
            </c:ext>
          </c:extLst>
        </c:ser>
        <c:ser>
          <c:idx val="0"/>
          <c:order val="1"/>
          <c:tx>
            <c:v>0.75-inch</c:v>
          </c:tx>
          <c:xVal>
            <c:numRef>
              <c:f>'Gap Profiles DATA'!$Q$52:$Q$58</c:f>
              <c:numCache>
                <c:formatCode>General</c:formatCode>
                <c:ptCount val="7"/>
                <c:pt idx="0">
                  <c:v>0.68683255951159472</c:v>
                </c:pt>
                <c:pt idx="1">
                  <c:v>0.72082327827985393</c:v>
                </c:pt>
                <c:pt idx="2">
                  <c:v>0.77673602819338416</c:v>
                </c:pt>
                <c:pt idx="3">
                  <c:v>0.79700502714655364</c:v>
                </c:pt>
                <c:pt idx="4">
                  <c:v>0.86247904699284239</c:v>
                </c:pt>
                <c:pt idx="5">
                  <c:v>0.93565485046039643</c:v>
                </c:pt>
                <c:pt idx="6">
                  <c:v>1.0600271336310532</c:v>
                </c:pt>
              </c:numCache>
            </c:numRef>
          </c:xVal>
          <c:yVal>
            <c:numRef>
              <c:f>'Gap Profiles DATA'!$P$52:$P$58</c:f>
              <c:numCache>
                <c:formatCode>General</c:formatCode>
                <c:ptCount val="7"/>
                <c:pt idx="0">
                  <c:v>2.6242320311584685E-2</c:v>
                </c:pt>
                <c:pt idx="1">
                  <c:v>3.4189721980751493E-2</c:v>
                </c:pt>
                <c:pt idx="2">
                  <c:v>5.0084525319082272E-2</c:v>
                </c:pt>
                <c:pt idx="3">
                  <c:v>5.803192698824626E-2</c:v>
                </c:pt>
                <c:pt idx="4">
                  <c:v>0.10571633700324143</c:v>
                </c:pt>
                <c:pt idx="5">
                  <c:v>0.22492736204072369</c:v>
                </c:pt>
                <c:pt idx="6">
                  <c:v>0.62229744549900179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C0A-4538-A9F8-17B849A982BC}"/>
            </c:ext>
          </c:extLst>
        </c:ser>
        <c:ser>
          <c:idx val="2"/>
          <c:order val="2"/>
          <c:tx>
            <c:v>1-inch</c:v>
          </c:tx>
          <c:spPr>
            <a:ln>
              <a:solidFill>
                <a:srgbClr val="00B0F0"/>
              </a:solidFill>
            </a:ln>
          </c:spPr>
          <c:marker>
            <c:symbol val="star"/>
            <c:size val="7"/>
            <c:spPr>
              <a:noFill/>
              <a:ln>
                <a:solidFill>
                  <a:srgbClr val="00B0F0"/>
                </a:solidFill>
              </a:ln>
            </c:spPr>
          </c:marker>
          <c:xVal>
            <c:numRef>
              <c:f>'Gap Profiles DATA'!$Q$59:$Q$65</c:f>
              <c:numCache>
                <c:formatCode>General</c:formatCode>
                <c:ptCount val="7"/>
                <c:pt idx="0">
                  <c:v>0.64652068026980913</c:v>
                </c:pt>
                <c:pt idx="1">
                  <c:v>0.67444142270773866</c:v>
                </c:pt>
                <c:pt idx="2">
                  <c:v>0.77292697999862148</c:v>
                </c:pt>
                <c:pt idx="3">
                  <c:v>0.83372910382043575</c:v>
                </c:pt>
                <c:pt idx="4">
                  <c:v>0.8508889012402957</c:v>
                </c:pt>
                <c:pt idx="5">
                  <c:v>0.87571403386866431</c:v>
                </c:pt>
                <c:pt idx="6">
                  <c:v>1.060534065710377</c:v>
                </c:pt>
              </c:numCache>
            </c:numRef>
          </c:xVal>
          <c:yVal>
            <c:numRef>
              <c:f>'Gap Profiles DATA'!$P$59:$P$65</c:f>
              <c:numCache>
                <c:formatCode>General</c:formatCode>
                <c:ptCount val="7"/>
                <c:pt idx="0">
                  <c:v>2.6242320311584685E-2</c:v>
                </c:pt>
                <c:pt idx="1">
                  <c:v>3.4189721980751493E-2</c:v>
                </c:pt>
                <c:pt idx="2">
                  <c:v>6.5979328657413058E-2</c:v>
                </c:pt>
                <c:pt idx="3">
                  <c:v>9.3795234499492633E-2</c:v>
                </c:pt>
                <c:pt idx="4">
                  <c:v>0.10571633700324143</c:v>
                </c:pt>
                <c:pt idx="5">
                  <c:v>0.1255848411761542</c:v>
                </c:pt>
                <c:pt idx="6">
                  <c:v>0.62229744549900179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0A-4538-A9F8-17B849A982BC}"/>
            </c:ext>
          </c:extLst>
        </c:ser>
        <c:ser>
          <c:idx val="3"/>
          <c:order val="3"/>
          <c:tx>
            <c:v>1.5-inch</c:v>
          </c:tx>
          <c:xVal>
            <c:numRef>
              <c:f>'Gap Profiles DATA'!$Q$26:$Q$32</c:f>
              <c:numCache>
                <c:formatCode>General</c:formatCode>
                <c:ptCount val="7"/>
                <c:pt idx="0">
                  <c:v>0.62543497045379015</c:v>
                </c:pt>
                <c:pt idx="1">
                  <c:v>0.68299929972174023</c:v>
                </c:pt>
                <c:pt idx="2">
                  <c:v>0.70571995621950612</c:v>
                </c:pt>
                <c:pt idx="3">
                  <c:v>0.8142042164957719</c:v>
                </c:pt>
                <c:pt idx="4">
                  <c:v>0.88546588175081364</c:v>
                </c:pt>
                <c:pt idx="5">
                  <c:v>0.96415713392237579</c:v>
                </c:pt>
                <c:pt idx="6">
                  <c:v>1.0740208330806975</c:v>
                </c:pt>
              </c:numCache>
            </c:numRef>
          </c:xVal>
          <c:yVal>
            <c:numRef>
              <c:f>'Gap Profiles DATA'!$P$26:$P$32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4.5646049676334004E-2</c:v>
                </c:pt>
                <c:pt idx="2">
                  <c:v>5.744699323278097E-2</c:v>
                </c:pt>
                <c:pt idx="3">
                  <c:v>0.10465076745856881</c:v>
                </c:pt>
                <c:pt idx="4">
                  <c:v>0.1479208938322058</c:v>
                </c:pt>
                <c:pt idx="5">
                  <c:v>0.26199668154452177</c:v>
                </c:pt>
                <c:pt idx="6">
                  <c:v>0.61602498823791674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EF-445A-B99F-C4541283E150}"/>
            </c:ext>
          </c:extLst>
        </c:ser>
        <c:ser>
          <c:idx val="4"/>
          <c:order val="4"/>
          <c:tx>
            <c:v>2.5-inch</c:v>
          </c:tx>
          <c:spPr>
            <a:ln>
              <a:solidFill>
                <a:schemeClr val="accent3"/>
              </a:solidFill>
            </a:ln>
          </c:spPr>
          <c:marker>
            <c:symbol val="triangle"/>
            <c:size val="7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xVal>
            <c:numRef>
              <c:f>'Gap Profiles DATA'!$Q$66:$Q$74</c:f>
              <c:numCache>
                <c:formatCode>General</c:formatCode>
                <c:ptCount val="9"/>
                <c:pt idx="0">
                  <c:v>0.63522099167089119</c:v>
                </c:pt>
                <c:pt idx="1">
                  <c:v>0.7065409936225111</c:v>
                </c:pt>
                <c:pt idx="2">
                  <c:v>0.75628555691302068</c:v>
                </c:pt>
                <c:pt idx="3">
                  <c:v>0.85525354288156108</c:v>
                </c:pt>
                <c:pt idx="4">
                  <c:v>0.91439840679042073</c:v>
                </c:pt>
                <c:pt idx="5">
                  <c:v>0.94019768136585358</c:v>
                </c:pt>
                <c:pt idx="6">
                  <c:v>0.96324017995263722</c:v>
                </c:pt>
                <c:pt idx="7">
                  <c:v>0.99279758846834953</c:v>
                </c:pt>
                <c:pt idx="8">
                  <c:v>1.0560460736252244</c:v>
                </c:pt>
              </c:numCache>
            </c:numRef>
          </c:xVal>
          <c:yVal>
            <c:numRef>
              <c:f>'Gap Profiles DATA'!$P$66:$P$74</c:f>
              <c:numCache>
                <c:formatCode>General</c:formatCode>
                <c:ptCount val="9"/>
                <c:pt idx="0">
                  <c:v>2.6242320311584685E-2</c:v>
                </c:pt>
                <c:pt idx="1">
                  <c:v>6.5979328657413058E-2</c:v>
                </c:pt>
                <c:pt idx="2">
                  <c:v>9.3795234499492633E-2</c:v>
                </c:pt>
                <c:pt idx="3">
                  <c:v>0.16532184952198256</c:v>
                </c:pt>
                <c:pt idx="4">
                  <c:v>0.22492736204072369</c:v>
                </c:pt>
                <c:pt idx="5">
                  <c:v>0.26466437038655211</c:v>
                </c:pt>
                <c:pt idx="6">
                  <c:v>0.30440137873238049</c:v>
                </c:pt>
                <c:pt idx="7">
                  <c:v>0.38387539542403437</c:v>
                </c:pt>
                <c:pt idx="8">
                  <c:v>0.62229744549900179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C0A-4538-A9F8-17B849A982BC}"/>
            </c:ext>
          </c:extLst>
        </c:ser>
        <c:ser>
          <c:idx val="5"/>
          <c:order val="5"/>
          <c:tx>
            <c:v>3-inch</c:v>
          </c:tx>
          <c:xVal>
            <c:numRef>
              <c:f>'Gap Profiles DATA'!$Q$40:$Q$46</c:f>
              <c:numCache>
                <c:formatCode>General</c:formatCode>
                <c:ptCount val="7"/>
                <c:pt idx="0">
                  <c:v>0.63710072394867867</c:v>
                </c:pt>
                <c:pt idx="1">
                  <c:v>0.76819520983492906</c:v>
                </c:pt>
                <c:pt idx="2">
                  <c:v>0.8511621132381878</c:v>
                </c:pt>
                <c:pt idx="3">
                  <c:v>0.95752080960361829</c:v>
                </c:pt>
                <c:pt idx="4">
                  <c:v>1.0032022773215514</c:v>
                </c:pt>
                <c:pt idx="5">
                  <c:v>1.025280041463178</c:v>
                </c:pt>
                <c:pt idx="6">
                  <c:v>1.0699715775426695</c:v>
                </c:pt>
              </c:numCache>
            </c:numRef>
          </c:xVal>
          <c:yVal>
            <c:numRef>
              <c:f>'Gap Profiles DATA'!$P$40:$P$46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0.10465076745856881</c:v>
                </c:pt>
                <c:pt idx="2">
                  <c:v>0.16365548524080084</c:v>
                </c:pt>
                <c:pt idx="3">
                  <c:v>0.28166492080526767</c:v>
                </c:pt>
                <c:pt idx="4">
                  <c:v>0.36033787784824284</c:v>
                </c:pt>
                <c:pt idx="5">
                  <c:v>0.43901083489122061</c:v>
                </c:pt>
                <c:pt idx="6">
                  <c:v>0.59635674897717372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8EF-445A-B99F-C4541283E150}"/>
            </c:ext>
          </c:extLst>
        </c:ser>
        <c:ser>
          <c:idx val="7"/>
          <c:order val="6"/>
          <c:tx>
            <c:v>Q=13, chute profile, x=0</c:v>
          </c:tx>
          <c:spPr>
            <a:ln w="15875">
              <a:noFill/>
              <a:prstDash val="lgDash"/>
            </a:ln>
          </c:spPr>
          <c:marker>
            <c:symbol val="circle"/>
            <c:size val="7"/>
            <c:spPr>
              <a:noFill/>
            </c:spPr>
          </c:marker>
          <c:trendline>
            <c:spPr>
              <a:ln>
                <a:solidFill>
                  <a:srgbClr val="C00000"/>
                </a:solidFill>
                <a:prstDash val="lgDash"/>
              </a:ln>
            </c:spPr>
            <c:trendlineType val="power"/>
            <c:dispRSqr val="0"/>
            <c:dispEq val="0"/>
          </c:trendline>
          <c:xVal>
            <c:numRef>
              <c:f>'Gap Profiles DATA'!$Q$106:$Q$110</c:f>
              <c:numCache>
                <c:formatCode>General</c:formatCode>
                <c:ptCount val="5"/>
                <c:pt idx="0">
                  <c:v>0.6573785925500274</c:v>
                </c:pt>
                <c:pt idx="1">
                  <c:v>0.73835650723403534</c:v>
                </c:pt>
                <c:pt idx="2">
                  <c:v>0.82599268485936395</c:v>
                </c:pt>
                <c:pt idx="3">
                  <c:v>0.92462913641438615</c:v>
                </c:pt>
                <c:pt idx="4">
                  <c:v>1.0699644600765181</c:v>
                </c:pt>
              </c:numCache>
            </c:numRef>
          </c:xVal>
          <c:yVal>
            <c:numRef>
              <c:f>'Gap Profiles DATA'!$P$106:$P$110</c:f>
              <c:numCache>
                <c:formatCode>General</c:formatCode>
                <c:ptCount val="5"/>
                <c:pt idx="0">
                  <c:v>8.3574536188169013E-3</c:v>
                </c:pt>
                <c:pt idx="1">
                  <c:v>2.2278106224356792E-2</c:v>
                </c:pt>
                <c:pt idx="2">
                  <c:v>6.0243522421283606E-2</c:v>
                </c:pt>
                <c:pt idx="3">
                  <c:v>0.18679490974437421</c:v>
                </c:pt>
                <c:pt idx="4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8EF-445A-B99F-C4541283E150}"/>
            </c:ext>
          </c:extLst>
        </c:ser>
        <c:ser>
          <c:idx val="6"/>
          <c:order val="7"/>
          <c:tx>
            <c:v>Q=13, 0.75-inch</c:v>
          </c:tx>
          <c:spPr>
            <a:ln>
              <a:prstDash val="dash"/>
            </a:ln>
          </c:spPr>
          <c:xVal>
            <c:numRef>
              <c:f>'Gap Profiles DATA'!$Q$111:$Q$119</c:f>
              <c:numCache>
                <c:formatCode>General</c:formatCode>
                <c:ptCount val="9"/>
                <c:pt idx="0">
                  <c:v>0.59082289191913717</c:v>
                </c:pt>
                <c:pt idx="1">
                  <c:v>0.62440836793226784</c:v>
                </c:pt>
                <c:pt idx="2">
                  <c:v>0.66104389090822391</c:v>
                </c:pt>
                <c:pt idx="3">
                  <c:v>0.71063532109467176</c:v>
                </c:pt>
                <c:pt idx="4">
                  <c:v>0.73985569793997541</c:v>
                </c:pt>
                <c:pt idx="5">
                  <c:v>0.76352340800603136</c:v>
                </c:pt>
                <c:pt idx="6">
                  <c:v>0.81329987551449134</c:v>
                </c:pt>
                <c:pt idx="7">
                  <c:v>0.92044188344525235</c:v>
                </c:pt>
                <c:pt idx="8">
                  <c:v>1.0687987398242547</c:v>
                </c:pt>
              </c:numCache>
            </c:numRef>
          </c:xVal>
          <c:yVal>
            <c:numRef>
              <c:f>'Gap Profiles DATA'!$P$111:$P$119</c:f>
              <c:numCache>
                <c:formatCode>General</c:formatCode>
                <c:ptCount val="9"/>
                <c:pt idx="0">
                  <c:v>8.3574536188169013E-3</c:v>
                </c:pt>
                <c:pt idx="1">
                  <c:v>1.2153995238508864E-2</c:v>
                </c:pt>
                <c:pt idx="2">
                  <c:v>1.7216050731432377E-2</c:v>
                </c:pt>
                <c:pt idx="3">
                  <c:v>2.2278106224356792E-2</c:v>
                </c:pt>
                <c:pt idx="4">
                  <c:v>2.8605675590510957E-2</c:v>
                </c:pt>
                <c:pt idx="5">
                  <c:v>3.4933244956665131E-2</c:v>
                </c:pt>
                <c:pt idx="6">
                  <c:v>6.0243522421283606E-2</c:v>
                </c:pt>
                <c:pt idx="7">
                  <c:v>0.18679490974437421</c:v>
                </c:pt>
                <c:pt idx="8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8EF-445A-B99F-C4541283E150}"/>
            </c:ext>
          </c:extLst>
        </c:ser>
        <c:ser>
          <c:idx val="8"/>
          <c:order val="8"/>
          <c:tx>
            <c:v>Q=13, 1.5-inch</c:v>
          </c:tx>
          <c:spPr>
            <a:ln w="28575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ysDot"/>
            </a:ln>
          </c:spPr>
          <c:xVal>
            <c:numRef>
              <c:f>'Gap Profiles DATA'!$Q$120:$Q$127</c:f>
              <c:numCache>
                <c:formatCode>General</c:formatCode>
                <c:ptCount val="8"/>
                <c:pt idx="0">
                  <c:v>0.56697628548147805</c:v>
                </c:pt>
                <c:pt idx="1">
                  <c:v>0.59401816931291873</c:v>
                </c:pt>
                <c:pt idx="2">
                  <c:v>0.62072504263580208</c:v>
                </c:pt>
                <c:pt idx="3">
                  <c:v>0.70071226979842316</c:v>
                </c:pt>
                <c:pt idx="4">
                  <c:v>0.7848925632181265</c:v>
                </c:pt>
                <c:pt idx="5">
                  <c:v>0.81786636380312183</c:v>
                </c:pt>
                <c:pt idx="6">
                  <c:v>0.97810902416308487</c:v>
                </c:pt>
                <c:pt idx="7">
                  <c:v>1.0739842892002858</c:v>
                </c:pt>
              </c:numCache>
            </c:numRef>
          </c:xVal>
          <c:yVal>
            <c:numRef>
              <c:f>'Gap Profiles DATA'!$P$120:$P$127</c:f>
              <c:numCache>
                <c:formatCode>General</c:formatCode>
                <c:ptCount val="8"/>
                <c:pt idx="0">
                  <c:v>8.3574536188169013E-3</c:v>
                </c:pt>
                <c:pt idx="1">
                  <c:v>1.2153995238508864E-2</c:v>
                </c:pt>
                <c:pt idx="2">
                  <c:v>1.5950536858201723E-2</c:v>
                </c:pt>
                <c:pt idx="3">
                  <c:v>2.8605675590510957E-2</c:v>
                </c:pt>
                <c:pt idx="4">
                  <c:v>4.7588383688974369E-2</c:v>
                </c:pt>
                <c:pt idx="5">
                  <c:v>6.0243522421283606E-2</c:v>
                </c:pt>
                <c:pt idx="6">
                  <c:v>0.31334629706746475</c:v>
                </c:pt>
                <c:pt idx="7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8EF-445A-B99F-C4541283E150}"/>
            </c:ext>
          </c:extLst>
        </c:ser>
        <c:ser>
          <c:idx val="9"/>
          <c:order val="9"/>
          <c:tx>
            <c:v>Q=13, 2.5-inch</c:v>
          </c:tx>
          <c:spPr>
            <a:ln w="28575">
              <a:solidFill>
                <a:schemeClr val="accent4">
                  <a:tint val="77000"/>
                  <a:shade val="95000"/>
                  <a:satMod val="105000"/>
                </a:schemeClr>
              </a:solidFill>
              <a:prstDash val="sysDash"/>
            </a:ln>
          </c:spPr>
          <c:marker>
            <c:spPr>
              <a:ln>
                <a:prstDash val="solid"/>
              </a:ln>
            </c:spPr>
          </c:marker>
          <c:xVal>
            <c:numRef>
              <c:f>'Gap Profiles DATA'!$Q$128:$Q$137</c:f>
              <c:numCache>
                <c:formatCode>General</c:formatCode>
                <c:ptCount val="10"/>
                <c:pt idx="0">
                  <c:v>0.57627370893278296</c:v>
                </c:pt>
                <c:pt idx="1">
                  <c:v>0.59591504221310243</c:v>
                </c:pt>
                <c:pt idx="2">
                  <c:v>0.62798016211120467</c:v>
                </c:pt>
                <c:pt idx="3">
                  <c:v>0.68953902479017237</c:v>
                </c:pt>
                <c:pt idx="4">
                  <c:v>0.72432749104498795</c:v>
                </c:pt>
                <c:pt idx="5">
                  <c:v>0.78132235253013127</c:v>
                </c:pt>
                <c:pt idx="6">
                  <c:v>0.80831415347194346</c:v>
                </c:pt>
                <c:pt idx="7">
                  <c:v>0.87064537056602698</c:v>
                </c:pt>
                <c:pt idx="8">
                  <c:v>0.92767554676262987</c:v>
                </c:pt>
                <c:pt idx="9">
                  <c:v>1.0711336416452506</c:v>
                </c:pt>
              </c:numCache>
            </c:numRef>
          </c:xVal>
          <c:yVal>
            <c:numRef>
              <c:f>'Gap Profiles DATA'!$P$128:$P$137</c:f>
              <c:numCache>
                <c:formatCode>General</c:formatCode>
                <c:ptCount val="10"/>
                <c:pt idx="0">
                  <c:v>8.3574536188169013E-3</c:v>
                </c:pt>
                <c:pt idx="1">
                  <c:v>1.5950536858201723E-2</c:v>
                </c:pt>
                <c:pt idx="2">
                  <c:v>2.2278106224356792E-2</c:v>
                </c:pt>
                <c:pt idx="3">
                  <c:v>3.4933244956665131E-2</c:v>
                </c:pt>
                <c:pt idx="4">
                  <c:v>4.7588383688974369E-2</c:v>
                </c:pt>
                <c:pt idx="5">
                  <c:v>6.0243522421283606E-2</c:v>
                </c:pt>
                <c:pt idx="6">
                  <c:v>7.289866115359285E-2</c:v>
                </c:pt>
                <c:pt idx="7">
                  <c:v>0.11086407735051966</c:v>
                </c:pt>
                <c:pt idx="8">
                  <c:v>0.18679490974437421</c:v>
                </c:pt>
                <c:pt idx="9">
                  <c:v>0.75627615269828163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8EF-445A-B99F-C4541283E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2"/>
          <c:min val="0.5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egendEntry>
        <c:idx val="11"/>
        <c:txPr>
          <a:bodyPr/>
          <a:lstStyle/>
          <a:p>
            <a:pPr>
              <a:defRPr sz="900"/>
            </a:pPr>
            <a:endParaRPr lang="en-US"/>
          </a:p>
        </c:txPr>
      </c:legendEntry>
      <c:layout>
        <c:manualLayout>
          <c:xMode val="edge"/>
          <c:yMode val="edge"/>
          <c:x val="0.58244383830555269"/>
          <c:y val="5.4198208438380788E-2"/>
          <c:w val="0.34489295672852288"/>
          <c:h val="0.81444705675041507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05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25089868578545"/>
          <c:y val="3.8140630924188318E-2"/>
          <c:w val="0.81666335908884791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Q=3 cfs, ZERO profile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DATA'!$Q$47:$Q$51</c:f>
              <c:numCache>
                <c:formatCode>General</c:formatCode>
                <c:ptCount val="5"/>
                <c:pt idx="0">
                  <c:v>0.72204248064779841</c:v>
                </c:pt>
                <c:pt idx="1">
                  <c:v>0.78106471542875444</c:v>
                </c:pt>
                <c:pt idx="2">
                  <c:v>0.85944838720520744</c:v>
                </c:pt>
                <c:pt idx="3">
                  <c:v>0.93552953443612585</c:v>
                </c:pt>
                <c:pt idx="4">
                  <c:v>1.0561479516125869</c:v>
                </c:pt>
              </c:numCache>
            </c:numRef>
          </c:xVal>
          <c:yVal>
            <c:numRef>
              <c:f>'Gap Profiles DATA'!$P$47:$P$51</c:f>
              <c:numCache>
                <c:formatCode>General</c:formatCode>
                <c:ptCount val="5"/>
                <c:pt idx="0">
                  <c:v>2.6242320311584685E-2</c:v>
                </c:pt>
                <c:pt idx="1">
                  <c:v>4.6110824484497458E-2</c:v>
                </c:pt>
                <c:pt idx="2">
                  <c:v>0.10571633700324143</c:v>
                </c:pt>
                <c:pt idx="3">
                  <c:v>0.22492736204072369</c:v>
                </c:pt>
                <c:pt idx="4">
                  <c:v>0.62229744549900179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B3-4222-B675-571BD9FFAD21}"/>
            </c:ext>
          </c:extLst>
        </c:ser>
        <c:ser>
          <c:idx val="0"/>
          <c:order val="1"/>
          <c:tx>
            <c:v>3/4-inch</c:v>
          </c:tx>
          <c:xVal>
            <c:numRef>
              <c:f>'Gap Profiles DATA'!$Q$52:$Q$58</c:f>
              <c:numCache>
                <c:formatCode>General</c:formatCode>
                <c:ptCount val="7"/>
                <c:pt idx="0">
                  <c:v>0.68683255951159472</c:v>
                </c:pt>
                <c:pt idx="1">
                  <c:v>0.72082327827985393</c:v>
                </c:pt>
                <c:pt idx="2">
                  <c:v>0.77673602819338416</c:v>
                </c:pt>
                <c:pt idx="3">
                  <c:v>0.79700502714655364</c:v>
                </c:pt>
                <c:pt idx="4">
                  <c:v>0.86247904699284239</c:v>
                </c:pt>
                <c:pt idx="5">
                  <c:v>0.93565485046039643</c:v>
                </c:pt>
                <c:pt idx="6">
                  <c:v>1.0600271336310532</c:v>
                </c:pt>
              </c:numCache>
            </c:numRef>
          </c:xVal>
          <c:yVal>
            <c:numRef>
              <c:f>'Gap Profiles DATA'!$P$52:$P$58</c:f>
              <c:numCache>
                <c:formatCode>General</c:formatCode>
                <c:ptCount val="7"/>
                <c:pt idx="0">
                  <c:v>2.6242320311584685E-2</c:v>
                </c:pt>
                <c:pt idx="1">
                  <c:v>3.4189721980751493E-2</c:v>
                </c:pt>
                <c:pt idx="2">
                  <c:v>5.0084525319082272E-2</c:v>
                </c:pt>
                <c:pt idx="3">
                  <c:v>5.803192698824626E-2</c:v>
                </c:pt>
                <c:pt idx="4">
                  <c:v>0.10571633700324143</c:v>
                </c:pt>
                <c:pt idx="5">
                  <c:v>0.22492736204072369</c:v>
                </c:pt>
                <c:pt idx="6">
                  <c:v>0.62229744549900179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6B3-4222-B675-571BD9FFAD21}"/>
            </c:ext>
          </c:extLst>
        </c:ser>
        <c:ser>
          <c:idx val="4"/>
          <c:order val="2"/>
          <c:tx>
            <c:v>1-inch</c:v>
          </c:tx>
          <c:xVal>
            <c:numRef>
              <c:f>'Gap Profiles DATA'!$Q$59:$Q$65</c:f>
              <c:numCache>
                <c:formatCode>General</c:formatCode>
                <c:ptCount val="7"/>
                <c:pt idx="0">
                  <c:v>0.64652068026980913</c:v>
                </c:pt>
                <c:pt idx="1">
                  <c:v>0.67444142270773866</c:v>
                </c:pt>
                <c:pt idx="2">
                  <c:v>0.77292697999862148</c:v>
                </c:pt>
                <c:pt idx="3">
                  <c:v>0.83372910382043575</c:v>
                </c:pt>
                <c:pt idx="4">
                  <c:v>0.8508889012402957</c:v>
                </c:pt>
                <c:pt idx="5">
                  <c:v>0.87571403386866431</c:v>
                </c:pt>
                <c:pt idx="6">
                  <c:v>1.060534065710377</c:v>
                </c:pt>
              </c:numCache>
            </c:numRef>
          </c:xVal>
          <c:yVal>
            <c:numRef>
              <c:f>'Gap Profiles DATA'!$P$59:$P$65</c:f>
              <c:numCache>
                <c:formatCode>General</c:formatCode>
                <c:ptCount val="7"/>
                <c:pt idx="0">
                  <c:v>2.6242320311584685E-2</c:v>
                </c:pt>
                <c:pt idx="1">
                  <c:v>3.4189721980751493E-2</c:v>
                </c:pt>
                <c:pt idx="2">
                  <c:v>6.5979328657413058E-2</c:v>
                </c:pt>
                <c:pt idx="3">
                  <c:v>9.3795234499492633E-2</c:v>
                </c:pt>
                <c:pt idx="4">
                  <c:v>0.10571633700324143</c:v>
                </c:pt>
                <c:pt idx="5">
                  <c:v>0.1255848411761542</c:v>
                </c:pt>
                <c:pt idx="6">
                  <c:v>0.62229744549900179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6B3-4222-B675-571BD9FFAD21}"/>
            </c:ext>
          </c:extLst>
        </c:ser>
        <c:ser>
          <c:idx val="3"/>
          <c:order val="3"/>
          <c:tx>
            <c:v>1.5-inch</c:v>
          </c:tx>
          <c:spPr>
            <a:ln w="28575">
              <a:solidFill>
                <a:schemeClr val="accent4"/>
              </a:solidFill>
            </a:ln>
          </c:spPr>
          <c:xVal>
            <c:numRef>
              <c:f>'Gap Profiles DATA'!$Q$26:$Q$32</c:f>
              <c:numCache>
                <c:formatCode>General</c:formatCode>
                <c:ptCount val="7"/>
                <c:pt idx="0">
                  <c:v>0.62543497045379015</c:v>
                </c:pt>
                <c:pt idx="1">
                  <c:v>0.68299929972174023</c:v>
                </c:pt>
                <c:pt idx="2">
                  <c:v>0.70571995621950612</c:v>
                </c:pt>
                <c:pt idx="3">
                  <c:v>0.8142042164957719</c:v>
                </c:pt>
                <c:pt idx="4">
                  <c:v>0.88546588175081364</c:v>
                </c:pt>
                <c:pt idx="5">
                  <c:v>0.96415713392237579</c:v>
                </c:pt>
                <c:pt idx="6">
                  <c:v>1.0740208330806975</c:v>
                </c:pt>
              </c:numCache>
            </c:numRef>
          </c:xVal>
          <c:yVal>
            <c:numRef>
              <c:f>'Gap Profiles DATA'!$P$26:$P$32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4.5646049676334004E-2</c:v>
                </c:pt>
                <c:pt idx="2">
                  <c:v>5.744699323278097E-2</c:v>
                </c:pt>
                <c:pt idx="3">
                  <c:v>0.10465076745856881</c:v>
                </c:pt>
                <c:pt idx="4">
                  <c:v>0.1479208938322058</c:v>
                </c:pt>
                <c:pt idx="5">
                  <c:v>0.26199668154452177</c:v>
                </c:pt>
                <c:pt idx="6">
                  <c:v>0.61602498823791674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45-47F2-8B38-9C3A3318DA66}"/>
            </c:ext>
          </c:extLst>
        </c:ser>
        <c:ser>
          <c:idx val="2"/>
          <c:order val="4"/>
          <c:tx>
            <c:v>2.5-inch</c:v>
          </c:tx>
          <c:xVal>
            <c:numRef>
              <c:f>'Gap Profiles DATA'!$Q$66:$Q$74</c:f>
              <c:numCache>
                <c:formatCode>General</c:formatCode>
                <c:ptCount val="9"/>
                <c:pt idx="0">
                  <c:v>0.63522099167089119</c:v>
                </c:pt>
                <c:pt idx="1">
                  <c:v>0.7065409936225111</c:v>
                </c:pt>
                <c:pt idx="2">
                  <c:v>0.75628555691302068</c:v>
                </c:pt>
                <c:pt idx="3">
                  <c:v>0.85525354288156108</c:v>
                </c:pt>
                <c:pt idx="4">
                  <c:v>0.91439840679042073</c:v>
                </c:pt>
                <c:pt idx="5">
                  <c:v>0.94019768136585358</c:v>
                </c:pt>
                <c:pt idx="6">
                  <c:v>0.96324017995263722</c:v>
                </c:pt>
                <c:pt idx="7">
                  <c:v>0.99279758846834953</c:v>
                </c:pt>
                <c:pt idx="8">
                  <c:v>1.0560460736252244</c:v>
                </c:pt>
              </c:numCache>
            </c:numRef>
          </c:xVal>
          <c:yVal>
            <c:numRef>
              <c:f>'Gap Profiles DATA'!$P$66:$P$74</c:f>
              <c:numCache>
                <c:formatCode>General</c:formatCode>
                <c:ptCount val="9"/>
                <c:pt idx="0">
                  <c:v>2.6242320311584685E-2</c:v>
                </c:pt>
                <c:pt idx="1">
                  <c:v>6.5979328657413058E-2</c:v>
                </c:pt>
                <c:pt idx="2">
                  <c:v>9.3795234499492633E-2</c:v>
                </c:pt>
                <c:pt idx="3">
                  <c:v>0.16532184952198256</c:v>
                </c:pt>
                <c:pt idx="4">
                  <c:v>0.22492736204072369</c:v>
                </c:pt>
                <c:pt idx="5">
                  <c:v>0.26466437038655211</c:v>
                </c:pt>
                <c:pt idx="6">
                  <c:v>0.30440137873238049</c:v>
                </c:pt>
                <c:pt idx="7">
                  <c:v>0.38387539542403437</c:v>
                </c:pt>
                <c:pt idx="8">
                  <c:v>0.62229744549900179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6B3-4222-B675-571BD9FFAD21}"/>
            </c:ext>
          </c:extLst>
        </c:ser>
        <c:ser>
          <c:idx val="5"/>
          <c:order val="5"/>
          <c:tx>
            <c:v>3-inch</c:v>
          </c:tx>
          <c:spPr>
            <a:ln w="28575">
              <a:solidFill>
                <a:schemeClr val="accent6"/>
              </a:solidFill>
            </a:ln>
          </c:spPr>
          <c:xVal>
            <c:numRef>
              <c:f>'Gap Profiles DATA'!$Q$40:$Q$46</c:f>
              <c:numCache>
                <c:formatCode>General</c:formatCode>
                <c:ptCount val="7"/>
                <c:pt idx="0">
                  <c:v>0.63710072394867867</c:v>
                </c:pt>
                <c:pt idx="1">
                  <c:v>0.76819520983492906</c:v>
                </c:pt>
                <c:pt idx="2">
                  <c:v>0.8511621132381878</c:v>
                </c:pt>
                <c:pt idx="3">
                  <c:v>0.95752080960361829</c:v>
                </c:pt>
                <c:pt idx="4">
                  <c:v>1.0032022773215514</c:v>
                </c:pt>
                <c:pt idx="5">
                  <c:v>1.025280041463178</c:v>
                </c:pt>
                <c:pt idx="6">
                  <c:v>1.0699715775426695</c:v>
                </c:pt>
              </c:numCache>
            </c:numRef>
          </c:xVal>
          <c:yVal>
            <c:numRef>
              <c:f>'Gap Profiles DATA'!$P$40:$P$46</c:f>
              <c:numCache>
                <c:formatCode>General</c:formatCode>
                <c:ptCount val="7"/>
                <c:pt idx="0">
                  <c:v>2.597781041559093E-2</c:v>
                </c:pt>
                <c:pt idx="1">
                  <c:v>0.10465076745856881</c:v>
                </c:pt>
                <c:pt idx="2">
                  <c:v>0.16365548524080084</c:v>
                </c:pt>
                <c:pt idx="3">
                  <c:v>0.28166492080526767</c:v>
                </c:pt>
                <c:pt idx="4">
                  <c:v>0.36033787784824284</c:v>
                </c:pt>
                <c:pt idx="5">
                  <c:v>0.43901083489122061</c:v>
                </c:pt>
                <c:pt idx="6">
                  <c:v>0.59635674897717372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45-47F2-8B38-9C3A3318D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2"/>
          <c:min val="0.60000000000000009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ayout>
        <c:manualLayout>
          <c:xMode val="edge"/>
          <c:yMode val="edge"/>
          <c:x val="0.51265863810872225"/>
          <c:y val="0.44972101599428221"/>
          <c:w val="0.40017111451054732"/>
          <c:h val="0.40711772584491013"/>
        </c:manualLayout>
      </c:layout>
      <c:overlay val="0"/>
      <c:spPr>
        <a:solidFill>
          <a:sysClr val="window" lastClr="FFFFFF"/>
        </a:solidFill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056863507763654E-2"/>
          <c:y val="3.8140630924188318E-2"/>
          <c:w val="0.86085734113363377"/>
          <c:h val="0.84076047056203707"/>
        </c:manualLayout>
      </c:layout>
      <c:scatterChart>
        <c:scatterStyle val="lineMarker"/>
        <c:varyColors val="0"/>
        <c:ser>
          <c:idx val="1"/>
          <c:order val="0"/>
          <c:tx>
            <c:v>Q=3, ZERO profile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DATA'!$Q$47:$Q$51</c:f>
              <c:numCache>
                <c:formatCode>General</c:formatCode>
                <c:ptCount val="5"/>
                <c:pt idx="0">
                  <c:v>0.72204248064779841</c:v>
                </c:pt>
                <c:pt idx="1">
                  <c:v>0.78106471542875444</c:v>
                </c:pt>
                <c:pt idx="2">
                  <c:v>0.85944838720520744</c:v>
                </c:pt>
                <c:pt idx="3">
                  <c:v>0.93552953443612585</c:v>
                </c:pt>
                <c:pt idx="4">
                  <c:v>1.0561479516125869</c:v>
                </c:pt>
              </c:numCache>
            </c:numRef>
          </c:xVal>
          <c:yVal>
            <c:numRef>
              <c:f>'Gap Profiles DATA'!$I$47:$I$51</c:f>
              <c:numCache>
                <c:formatCode>General</c:formatCode>
                <c:ptCount val="5"/>
                <c:pt idx="0">
                  <c:v>2.5999999999999999E-2</c:v>
                </c:pt>
                <c:pt idx="1">
                  <c:v>4.5685039370077618E-2</c:v>
                </c:pt>
                <c:pt idx="2">
                  <c:v>0.10474015748031608</c:v>
                </c:pt>
                <c:pt idx="3">
                  <c:v>0.22285039370078738</c:v>
                </c:pt>
                <c:pt idx="4">
                  <c:v>0.61655118110236218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75-4229-9343-5A915FB20CF5}"/>
            </c:ext>
          </c:extLst>
        </c:ser>
        <c:ser>
          <c:idx val="0"/>
          <c:order val="1"/>
          <c:tx>
            <c:v>0.75-inch</c:v>
          </c:tx>
          <c:xVal>
            <c:numRef>
              <c:f>'Gap Profiles DATA'!$Q$52:$Q$58</c:f>
              <c:numCache>
                <c:formatCode>General</c:formatCode>
                <c:ptCount val="7"/>
                <c:pt idx="0">
                  <c:v>0.68683255951159472</c:v>
                </c:pt>
                <c:pt idx="1">
                  <c:v>0.72082327827985393</c:v>
                </c:pt>
                <c:pt idx="2">
                  <c:v>0.77673602819338416</c:v>
                </c:pt>
                <c:pt idx="3">
                  <c:v>0.79700502714655364</c:v>
                </c:pt>
                <c:pt idx="4">
                  <c:v>0.86247904699284239</c:v>
                </c:pt>
                <c:pt idx="5">
                  <c:v>0.93565485046039643</c:v>
                </c:pt>
                <c:pt idx="6">
                  <c:v>1.0600271336310532</c:v>
                </c:pt>
              </c:numCache>
            </c:numRef>
          </c:xVal>
          <c:yVal>
            <c:numRef>
              <c:f>'Gap Profiles DATA'!$I$52:$I$58</c:f>
              <c:numCache>
                <c:formatCode>General</c:formatCode>
                <c:ptCount val="7"/>
                <c:pt idx="0">
                  <c:v>2.5999999999999999E-2</c:v>
                </c:pt>
                <c:pt idx="1">
                  <c:v>3.3874015748032726E-2</c:v>
                </c:pt>
                <c:pt idx="2">
                  <c:v>4.9622047244095385E-2</c:v>
                </c:pt>
                <c:pt idx="3">
                  <c:v>5.7496062992125313E-2</c:v>
                </c:pt>
                <c:pt idx="4">
                  <c:v>0.10474015748031608</c:v>
                </c:pt>
                <c:pt idx="5">
                  <c:v>0.22285039370078738</c:v>
                </c:pt>
                <c:pt idx="6">
                  <c:v>0.61655118110236218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5-4229-9343-5A915FB20CF5}"/>
            </c:ext>
          </c:extLst>
        </c:ser>
        <c:ser>
          <c:idx val="2"/>
          <c:order val="2"/>
          <c:tx>
            <c:v>1-inch</c:v>
          </c:tx>
          <c:xVal>
            <c:numRef>
              <c:f>'Gap Profiles DATA'!$Q$59:$Q$65</c:f>
              <c:numCache>
                <c:formatCode>General</c:formatCode>
                <c:ptCount val="7"/>
                <c:pt idx="0">
                  <c:v>0.64652068026980913</c:v>
                </c:pt>
                <c:pt idx="1">
                  <c:v>0.67444142270773866</c:v>
                </c:pt>
                <c:pt idx="2">
                  <c:v>0.77292697999862148</c:v>
                </c:pt>
                <c:pt idx="3">
                  <c:v>0.83372910382043575</c:v>
                </c:pt>
                <c:pt idx="4">
                  <c:v>0.8508889012402957</c:v>
                </c:pt>
                <c:pt idx="5">
                  <c:v>0.87571403386866431</c:v>
                </c:pt>
                <c:pt idx="6">
                  <c:v>1.060534065710377</c:v>
                </c:pt>
              </c:numCache>
            </c:numRef>
          </c:xVal>
          <c:yVal>
            <c:numRef>
              <c:f>'Gap Profiles DATA'!$I$59:$I$65</c:f>
              <c:numCache>
                <c:formatCode>General</c:formatCode>
                <c:ptCount val="7"/>
                <c:pt idx="0">
                  <c:v>2.5999999999999999E-2</c:v>
                </c:pt>
                <c:pt idx="1">
                  <c:v>3.3874015748032726E-2</c:v>
                </c:pt>
                <c:pt idx="2">
                  <c:v>6.5370078740158044E-2</c:v>
                </c:pt>
                <c:pt idx="3">
                  <c:v>9.2929133858268384E-2</c:v>
                </c:pt>
                <c:pt idx="4">
                  <c:v>0.10474015748031608</c:v>
                </c:pt>
                <c:pt idx="5">
                  <c:v>0.12442519685039369</c:v>
                </c:pt>
                <c:pt idx="6">
                  <c:v>0.61655118110236218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75-4229-9343-5A915FB20CF5}"/>
            </c:ext>
          </c:extLst>
        </c:ser>
        <c:ser>
          <c:idx val="3"/>
          <c:order val="3"/>
          <c:tx>
            <c:v>1.5-inch</c:v>
          </c:tx>
          <c:xVal>
            <c:numRef>
              <c:f>'Gap Profiles DATA'!$Q$26:$Q$32</c:f>
              <c:numCache>
                <c:formatCode>General</c:formatCode>
                <c:ptCount val="7"/>
                <c:pt idx="0">
                  <c:v>0.62543497045379015</c:v>
                </c:pt>
                <c:pt idx="1">
                  <c:v>0.68299929972174023</c:v>
                </c:pt>
                <c:pt idx="2">
                  <c:v>0.70571995621950612</c:v>
                </c:pt>
                <c:pt idx="3">
                  <c:v>0.8142042164957719</c:v>
                </c:pt>
                <c:pt idx="4">
                  <c:v>0.88546588175081364</c:v>
                </c:pt>
                <c:pt idx="5">
                  <c:v>0.96415713392237579</c:v>
                </c:pt>
                <c:pt idx="6">
                  <c:v>1.0740208330806975</c:v>
                </c:pt>
              </c:numCache>
            </c:numRef>
          </c:xVal>
          <c:yVal>
            <c:numRef>
              <c:f>'Gap Profiles DATA'!$I$26:$I$32</c:f>
              <c:numCache>
                <c:formatCode>General</c:formatCode>
                <c:ptCount val="7"/>
                <c:pt idx="0">
                  <c:v>2.5999999999999999E-2</c:v>
                </c:pt>
                <c:pt idx="1">
                  <c:v>4.5685039370077618E-2</c:v>
                </c:pt>
                <c:pt idx="2">
                  <c:v>5.7496062992125313E-2</c:v>
                </c:pt>
                <c:pt idx="3">
                  <c:v>0.10474015748031608</c:v>
                </c:pt>
                <c:pt idx="4">
                  <c:v>0.14804724409448908</c:v>
                </c:pt>
                <c:pt idx="5">
                  <c:v>0.26222047244094543</c:v>
                </c:pt>
                <c:pt idx="6">
                  <c:v>0.61655118110236218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A75-4229-9343-5A915FB20CF5}"/>
            </c:ext>
          </c:extLst>
        </c:ser>
        <c:ser>
          <c:idx val="4"/>
          <c:order val="4"/>
          <c:tx>
            <c:v>2.5-inch</c:v>
          </c:tx>
          <c:xVal>
            <c:numRef>
              <c:f>'Gap Profiles DATA'!$Q$66:$Q$74</c:f>
              <c:numCache>
                <c:formatCode>General</c:formatCode>
                <c:ptCount val="9"/>
                <c:pt idx="0">
                  <c:v>0.63522099167089119</c:v>
                </c:pt>
                <c:pt idx="1">
                  <c:v>0.7065409936225111</c:v>
                </c:pt>
                <c:pt idx="2">
                  <c:v>0.75628555691302068</c:v>
                </c:pt>
                <c:pt idx="3">
                  <c:v>0.85525354288156108</c:v>
                </c:pt>
                <c:pt idx="4">
                  <c:v>0.91439840679042073</c:v>
                </c:pt>
                <c:pt idx="5">
                  <c:v>0.94019768136585358</c:v>
                </c:pt>
                <c:pt idx="6">
                  <c:v>0.96324017995263722</c:v>
                </c:pt>
                <c:pt idx="7">
                  <c:v>0.99279758846834953</c:v>
                </c:pt>
                <c:pt idx="8">
                  <c:v>1.0560460736252244</c:v>
                </c:pt>
              </c:numCache>
            </c:numRef>
          </c:xVal>
          <c:yVal>
            <c:numRef>
              <c:f>'Gap Profiles DATA'!$I$66:$I$74</c:f>
              <c:numCache>
                <c:formatCode>General</c:formatCode>
                <c:ptCount val="9"/>
                <c:pt idx="0">
                  <c:v>2.5999999999999999E-2</c:v>
                </c:pt>
                <c:pt idx="1">
                  <c:v>6.5370078740158044E-2</c:v>
                </c:pt>
                <c:pt idx="2">
                  <c:v>9.2929133858268384E-2</c:v>
                </c:pt>
                <c:pt idx="3">
                  <c:v>0.16379527559055174</c:v>
                </c:pt>
                <c:pt idx="4">
                  <c:v>0.22285039370078738</c:v>
                </c:pt>
                <c:pt idx="5">
                  <c:v>0.26222047244094543</c:v>
                </c:pt>
                <c:pt idx="6">
                  <c:v>0.30159055118110351</c:v>
                </c:pt>
                <c:pt idx="7">
                  <c:v>0.38033070866141677</c:v>
                </c:pt>
                <c:pt idx="8">
                  <c:v>0.61655118110236218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A75-4229-9343-5A915FB20CF5}"/>
            </c:ext>
          </c:extLst>
        </c:ser>
        <c:ser>
          <c:idx val="5"/>
          <c:order val="5"/>
          <c:tx>
            <c:v>3-inch</c:v>
          </c:tx>
          <c:xVal>
            <c:numRef>
              <c:f>'Gap Profiles DATA'!$Q$40:$Q$46</c:f>
              <c:numCache>
                <c:formatCode>General</c:formatCode>
                <c:ptCount val="7"/>
                <c:pt idx="0">
                  <c:v>0.63710072394867867</c:v>
                </c:pt>
                <c:pt idx="1">
                  <c:v>0.76819520983492906</c:v>
                </c:pt>
                <c:pt idx="2">
                  <c:v>0.8511621132381878</c:v>
                </c:pt>
                <c:pt idx="3">
                  <c:v>0.95752080960361829</c:v>
                </c:pt>
                <c:pt idx="4">
                  <c:v>1.0032022773215514</c:v>
                </c:pt>
                <c:pt idx="5">
                  <c:v>1.025280041463178</c:v>
                </c:pt>
                <c:pt idx="6">
                  <c:v>1.0699715775426695</c:v>
                </c:pt>
              </c:numCache>
            </c:numRef>
          </c:xVal>
          <c:yVal>
            <c:numRef>
              <c:f>'Gap Profiles DATA'!$I$40:$I$46</c:f>
              <c:numCache>
                <c:formatCode>General</c:formatCode>
                <c:ptCount val="7"/>
                <c:pt idx="0">
                  <c:v>2.5999999999999999E-2</c:v>
                </c:pt>
                <c:pt idx="1">
                  <c:v>0.10474015748031608</c:v>
                </c:pt>
                <c:pt idx="2">
                  <c:v>0.16379527559055174</c:v>
                </c:pt>
                <c:pt idx="3">
                  <c:v>0.28190551181102586</c:v>
                </c:pt>
                <c:pt idx="4">
                  <c:v>0.36064566929133918</c:v>
                </c:pt>
                <c:pt idx="5">
                  <c:v>0.43938582677165522</c:v>
                </c:pt>
                <c:pt idx="6">
                  <c:v>0.59686614173228458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75-4229-9343-5A915FB20CF5}"/>
            </c:ext>
          </c:extLst>
        </c:ser>
        <c:ser>
          <c:idx val="7"/>
          <c:order val="6"/>
          <c:tx>
            <c:v>Q=13 cfs, ZERO profile</c:v>
          </c:tx>
          <c:spPr>
            <a:ln w="15875">
              <a:noFill/>
              <a:prstDash val="lgDash"/>
            </a:ln>
          </c:spPr>
          <c:marker>
            <c:symbol val="circle"/>
            <c:size val="7"/>
            <c:spPr>
              <a:noFill/>
            </c:spPr>
          </c:marker>
          <c:trendline>
            <c:spPr>
              <a:ln>
                <a:solidFill>
                  <a:srgbClr val="C00000"/>
                </a:solidFill>
                <a:prstDash val="lgDash"/>
              </a:ln>
            </c:spPr>
            <c:trendlineType val="power"/>
            <c:dispRSqr val="0"/>
            <c:dispEq val="0"/>
          </c:trendline>
          <c:xVal>
            <c:numRef>
              <c:f>'Gap Profiles DATA'!$Q$106:$Q$110</c:f>
              <c:numCache>
                <c:formatCode>General</c:formatCode>
                <c:ptCount val="5"/>
                <c:pt idx="0">
                  <c:v>0.6573785925500274</c:v>
                </c:pt>
                <c:pt idx="1">
                  <c:v>0.73835650723403534</c:v>
                </c:pt>
                <c:pt idx="2">
                  <c:v>0.82599268485936395</c:v>
                </c:pt>
                <c:pt idx="3">
                  <c:v>0.92462913641438615</c:v>
                </c:pt>
                <c:pt idx="4">
                  <c:v>1.0699644600765181</c:v>
                </c:pt>
              </c:numCache>
            </c:numRef>
          </c:xVal>
          <c:yVal>
            <c:numRef>
              <c:f>'Gap Profiles DATA'!$I$106:$I$110</c:f>
              <c:numCache>
                <c:formatCode>General</c:formatCode>
                <c:ptCount val="5"/>
                <c:pt idx="0">
                  <c:v>2.5999999999999999E-2</c:v>
                </c:pt>
                <c:pt idx="1">
                  <c:v>6.9307086614173008E-2</c:v>
                </c:pt>
                <c:pt idx="2">
                  <c:v>0.18741732283464432</c:v>
                </c:pt>
                <c:pt idx="3">
                  <c:v>0.58111811023621918</c:v>
                </c:pt>
                <c:pt idx="4">
                  <c:v>2.3527716535433054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A75-4229-9343-5A915FB20CF5}"/>
            </c:ext>
          </c:extLst>
        </c:ser>
        <c:ser>
          <c:idx val="6"/>
          <c:order val="7"/>
          <c:tx>
            <c:v>Q=13, 0.75-inch</c:v>
          </c:tx>
          <c:spPr>
            <a:ln>
              <a:prstDash val="dash"/>
            </a:ln>
          </c:spPr>
          <c:xVal>
            <c:numRef>
              <c:f>'Gap Profiles DATA'!$Q$111:$Q$119</c:f>
              <c:numCache>
                <c:formatCode>General</c:formatCode>
                <c:ptCount val="9"/>
                <c:pt idx="0">
                  <c:v>0.59082289191913717</c:v>
                </c:pt>
                <c:pt idx="1">
                  <c:v>0.62440836793226784</c:v>
                </c:pt>
                <c:pt idx="2">
                  <c:v>0.66104389090822391</c:v>
                </c:pt>
                <c:pt idx="3">
                  <c:v>0.71063532109467176</c:v>
                </c:pt>
                <c:pt idx="4">
                  <c:v>0.73985569793997541</c:v>
                </c:pt>
                <c:pt idx="5">
                  <c:v>0.76352340800603136</c:v>
                </c:pt>
                <c:pt idx="6">
                  <c:v>0.81329987551449134</c:v>
                </c:pt>
                <c:pt idx="7">
                  <c:v>0.92044188344525235</c:v>
                </c:pt>
                <c:pt idx="8">
                  <c:v>1.0687987398242547</c:v>
                </c:pt>
              </c:numCache>
            </c:numRef>
          </c:xVal>
          <c:yVal>
            <c:numRef>
              <c:f>'Gap Profiles DATA'!$I$111:$I$119</c:f>
              <c:numCache>
                <c:formatCode>General</c:formatCode>
                <c:ptCount val="9"/>
                <c:pt idx="0">
                  <c:v>2.5999999999999999E-2</c:v>
                </c:pt>
                <c:pt idx="1">
                  <c:v>3.7811023622044894E-2</c:v>
                </c:pt>
                <c:pt idx="2">
                  <c:v>5.3559055118107546E-2</c:v>
                </c:pt>
                <c:pt idx="3">
                  <c:v>6.9307086614173008E-2</c:v>
                </c:pt>
                <c:pt idx="4">
                  <c:v>8.8992125984250617E-2</c:v>
                </c:pt>
                <c:pt idx="5">
                  <c:v>0.10867716535432824</c:v>
                </c:pt>
                <c:pt idx="6">
                  <c:v>0.18741732283464432</c:v>
                </c:pt>
                <c:pt idx="7">
                  <c:v>0.58111811023621918</c:v>
                </c:pt>
                <c:pt idx="8">
                  <c:v>2.3527716535433054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A75-4229-9343-5A915FB20CF5}"/>
            </c:ext>
          </c:extLst>
        </c:ser>
        <c:ser>
          <c:idx val="8"/>
          <c:order val="8"/>
          <c:tx>
            <c:v>Q=13, 1.5-inch</c:v>
          </c:tx>
          <c:spPr>
            <a:ln w="28575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ysDot"/>
            </a:ln>
          </c:spPr>
          <c:xVal>
            <c:numRef>
              <c:f>'Gap Profiles DATA'!$Q$120:$Q$127</c:f>
              <c:numCache>
                <c:formatCode>General</c:formatCode>
                <c:ptCount val="8"/>
                <c:pt idx="0">
                  <c:v>0.56697628548147805</c:v>
                </c:pt>
                <c:pt idx="1">
                  <c:v>0.59401816931291873</c:v>
                </c:pt>
                <c:pt idx="2">
                  <c:v>0.62072504263580208</c:v>
                </c:pt>
                <c:pt idx="3">
                  <c:v>0.70071226979842316</c:v>
                </c:pt>
                <c:pt idx="4">
                  <c:v>0.7848925632181265</c:v>
                </c:pt>
                <c:pt idx="5">
                  <c:v>0.81786636380312183</c:v>
                </c:pt>
                <c:pt idx="6">
                  <c:v>0.97810902416308487</c:v>
                </c:pt>
                <c:pt idx="7">
                  <c:v>1.0739842892002858</c:v>
                </c:pt>
              </c:numCache>
            </c:numRef>
          </c:xVal>
          <c:yVal>
            <c:numRef>
              <c:f>'Gap Profiles DATA'!$I$120:$I$127</c:f>
              <c:numCache>
                <c:formatCode>General</c:formatCode>
                <c:ptCount val="8"/>
                <c:pt idx="0">
                  <c:v>2.5999999999999999E-2</c:v>
                </c:pt>
                <c:pt idx="1">
                  <c:v>3.7811023622044894E-2</c:v>
                </c:pt>
                <c:pt idx="2">
                  <c:v>4.9622047244092582E-2</c:v>
                </c:pt>
                <c:pt idx="3">
                  <c:v>8.8992125984250617E-2</c:v>
                </c:pt>
                <c:pt idx="4">
                  <c:v>0.14804724409448627</c:v>
                </c:pt>
                <c:pt idx="5">
                  <c:v>0.18741732283464432</c:v>
                </c:pt>
                <c:pt idx="6">
                  <c:v>0.97481889763779395</c:v>
                </c:pt>
                <c:pt idx="7">
                  <c:v>2.3527716535433054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A75-4229-9343-5A915FB20CF5}"/>
            </c:ext>
          </c:extLst>
        </c:ser>
        <c:ser>
          <c:idx val="9"/>
          <c:order val="9"/>
          <c:tx>
            <c:v>Q=13, 2.5-inch</c:v>
          </c:tx>
          <c:spPr>
            <a:ln w="28575">
              <a:solidFill>
                <a:schemeClr val="accent4">
                  <a:tint val="77000"/>
                  <a:shade val="95000"/>
                  <a:satMod val="105000"/>
                </a:schemeClr>
              </a:solidFill>
              <a:prstDash val="sysDash"/>
            </a:ln>
          </c:spPr>
          <c:marker>
            <c:spPr>
              <a:ln>
                <a:prstDash val="solid"/>
              </a:ln>
            </c:spPr>
          </c:marker>
          <c:xVal>
            <c:numRef>
              <c:f>'Gap Profiles DATA'!$Q$128:$Q$137</c:f>
              <c:numCache>
                <c:formatCode>General</c:formatCode>
                <c:ptCount val="10"/>
                <c:pt idx="0">
                  <c:v>0.57627370893278296</c:v>
                </c:pt>
                <c:pt idx="1">
                  <c:v>0.59591504221310243</c:v>
                </c:pt>
                <c:pt idx="2">
                  <c:v>0.62798016211120467</c:v>
                </c:pt>
                <c:pt idx="3">
                  <c:v>0.68953902479017237</c:v>
                </c:pt>
                <c:pt idx="4">
                  <c:v>0.72432749104498795</c:v>
                </c:pt>
                <c:pt idx="5">
                  <c:v>0.78132235253013127</c:v>
                </c:pt>
                <c:pt idx="6">
                  <c:v>0.80831415347194346</c:v>
                </c:pt>
                <c:pt idx="7">
                  <c:v>0.87064537056602698</c:v>
                </c:pt>
                <c:pt idx="8">
                  <c:v>0.92767554676262987</c:v>
                </c:pt>
                <c:pt idx="9">
                  <c:v>1.0711336416452506</c:v>
                </c:pt>
              </c:numCache>
            </c:numRef>
          </c:xVal>
          <c:yVal>
            <c:numRef>
              <c:f>'Gap Profiles DATA'!$I$128:$I$137</c:f>
              <c:numCache>
                <c:formatCode>General</c:formatCode>
                <c:ptCount val="10"/>
                <c:pt idx="0">
                  <c:v>2.5999999999999999E-2</c:v>
                </c:pt>
                <c:pt idx="1">
                  <c:v>4.9622047244092582E-2</c:v>
                </c:pt>
                <c:pt idx="2">
                  <c:v>6.9307086614173008E-2</c:v>
                </c:pt>
                <c:pt idx="3">
                  <c:v>0.10867716535432824</c:v>
                </c:pt>
                <c:pt idx="4">
                  <c:v>0.14804724409448627</c:v>
                </c:pt>
                <c:pt idx="5">
                  <c:v>0.18741732283464432</c:v>
                </c:pt>
                <c:pt idx="6">
                  <c:v>0.22678740157480237</c:v>
                </c:pt>
                <c:pt idx="7">
                  <c:v>0.34489763779527371</c:v>
                </c:pt>
                <c:pt idx="8">
                  <c:v>0.58111811023621918</c:v>
                </c:pt>
                <c:pt idx="9">
                  <c:v>2.3527716535433054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A75-4229-9343-5A915FB20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2"/>
          <c:min val="0.1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layout>
            <c:manualLayout>
              <c:xMode val="edge"/>
              <c:yMode val="edge"/>
              <c:x val="0.4716193128162362"/>
              <c:y val="0.90841066430991313"/>
            </c:manualLayout>
          </c:layout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y, inches</a:t>
                </a:r>
                <a:endParaRPr lang="en-US" baseline="-25000"/>
              </a:p>
            </c:rich>
          </c:tx>
          <c:layout>
            <c:manualLayout>
              <c:xMode val="edge"/>
              <c:yMode val="edge"/>
              <c:x val="1.7954598660556174E-2"/>
              <c:y val="0.36926617049581129"/>
            </c:manualLayout>
          </c:layout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ayout>
        <c:manualLayout>
          <c:xMode val="edge"/>
          <c:yMode val="edge"/>
          <c:x val="0.16385885373445022"/>
          <c:y val="5.8663514411413459E-2"/>
          <c:w val="0.20749980255162453"/>
          <c:h val="0.79069908103371023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25089868578545"/>
          <c:y val="3.8140630924188318E-2"/>
          <c:w val="0.81666335908884791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ZERO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1"/>
            <c:dispEq val="0"/>
            <c:trendlineLbl>
              <c:numFmt formatCode="General" sourceLinked="0"/>
            </c:trendlineLbl>
          </c:trendline>
          <c:xVal>
            <c:numRef>
              <c:f>'Gap Profiles DATA'!$Q$94:$Q$98</c:f>
              <c:numCache>
                <c:formatCode>General</c:formatCode>
                <c:ptCount val="5"/>
                <c:pt idx="0">
                  <c:v>0.7188276632227949</c:v>
                </c:pt>
                <c:pt idx="1">
                  <c:v>0.77031273653957044</c:v>
                </c:pt>
                <c:pt idx="2">
                  <c:v>0.85718748201286687</c:v>
                </c:pt>
                <c:pt idx="3">
                  <c:v>0.94503219989574083</c:v>
                </c:pt>
                <c:pt idx="4">
                  <c:v>1.0663166014737342</c:v>
                </c:pt>
              </c:numCache>
            </c:numRef>
          </c:xVal>
          <c:yVal>
            <c:numRef>
              <c:f>'Gap Profiles DATA'!$P$94:$P$98</c:f>
              <c:numCache>
                <c:formatCode>General</c:formatCode>
                <c:ptCount val="5"/>
                <c:pt idx="0">
                  <c:v>2.6139842229361429E-2</c:v>
                </c:pt>
                <c:pt idx="1">
                  <c:v>4.5930758514461323E-2</c:v>
                </c:pt>
                <c:pt idx="2">
                  <c:v>0.10530350736976384</c:v>
                </c:pt>
                <c:pt idx="3">
                  <c:v>0.24383992136547153</c:v>
                </c:pt>
                <c:pt idx="4">
                  <c:v>0.63965824706749208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6D-42E5-849D-5FA41B1B5043}"/>
            </c:ext>
          </c:extLst>
        </c:ser>
        <c:ser>
          <c:idx val="2"/>
          <c:order val="1"/>
          <c:tx>
            <c:v>1/2-inch</c:v>
          </c:tx>
          <c:xVal>
            <c:numRef>
              <c:f>'Gap Profiles DATA'!$Q$99:$Q$105</c:f>
              <c:numCache>
                <c:formatCode>General</c:formatCode>
                <c:ptCount val="7"/>
                <c:pt idx="0">
                  <c:v>0.66422628057826505</c:v>
                </c:pt>
                <c:pt idx="1">
                  <c:v>0.715465502615657</c:v>
                </c:pt>
                <c:pt idx="2">
                  <c:v>0.74210712446608296</c:v>
                </c:pt>
                <c:pt idx="3">
                  <c:v>0.7742816227517354</c:v>
                </c:pt>
                <c:pt idx="4">
                  <c:v>0.82713124273587746</c:v>
                </c:pt>
                <c:pt idx="5">
                  <c:v>0.9205650690900512</c:v>
                </c:pt>
                <c:pt idx="6">
                  <c:v>1.0427859333576008</c:v>
                </c:pt>
              </c:numCache>
            </c:numRef>
          </c:xVal>
          <c:yVal>
            <c:numRef>
              <c:f>'Gap Profiles DATA'!$P$99:$P$105</c:f>
              <c:numCache>
                <c:formatCode>General</c:formatCode>
                <c:ptCount val="7"/>
                <c:pt idx="0">
                  <c:v>2.6139842229361429E-2</c:v>
                </c:pt>
                <c:pt idx="1">
                  <c:v>3.4056208743400262E-2</c:v>
                </c:pt>
                <c:pt idx="2">
                  <c:v>4.1972575257441906E-2</c:v>
                </c:pt>
                <c:pt idx="3">
                  <c:v>5.3847125028502973E-2</c:v>
                </c:pt>
                <c:pt idx="4">
                  <c:v>8.5512591084663928E-2</c:v>
                </c:pt>
                <c:pt idx="5">
                  <c:v>0.20425808879526894</c:v>
                </c:pt>
                <c:pt idx="6">
                  <c:v>0.56049458192708679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6D-42E5-849D-5FA41B1B5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2"/>
          <c:min val="0.60000000000000009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ayout>
        <c:manualLayout>
          <c:xMode val="edge"/>
          <c:yMode val="edge"/>
          <c:x val="0.62540052403010227"/>
          <c:y val="0.23919480672006635"/>
          <c:w val="0.23048433267874222"/>
          <c:h val="0.47216664487551629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20567963718982"/>
          <c:y val="6.7841112252272809E-2"/>
          <c:w val="0.82352999268148597"/>
          <c:h val="0.82205998706683403"/>
        </c:manualLayout>
      </c:layout>
      <c:scatterChart>
        <c:scatterStyle val="lineMarker"/>
        <c:varyColors val="0"/>
        <c:ser>
          <c:idx val="1"/>
          <c:order val="0"/>
          <c:tx>
            <c:v>Q3 - x** = x/s = 0</c:v>
          </c:tx>
          <c:spPr>
            <a:ln w="25400">
              <a:solidFill>
                <a:schemeClr val="tx2"/>
              </a:solidFill>
            </a:ln>
          </c:spPr>
          <c:marker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xVal>
            <c:numRef>
              <c:f>'Gap Profiles DATA'!$Q$47:$Q$51</c:f>
              <c:numCache>
                <c:formatCode>General</c:formatCode>
                <c:ptCount val="5"/>
                <c:pt idx="0">
                  <c:v>0.72204248064779841</c:v>
                </c:pt>
                <c:pt idx="1">
                  <c:v>0.78106471542875444</c:v>
                </c:pt>
                <c:pt idx="2">
                  <c:v>0.85944838720520744</c:v>
                </c:pt>
                <c:pt idx="3">
                  <c:v>0.93552953443612585</c:v>
                </c:pt>
                <c:pt idx="4">
                  <c:v>1.0561479516125869</c:v>
                </c:pt>
              </c:numCache>
            </c:numRef>
          </c:xVal>
          <c:yVal>
            <c:numRef>
              <c:f>'Gap Profiles DATA'!$J$47:$J$51</c:f>
              <c:numCache>
                <c:formatCode>General</c:formatCode>
                <c:ptCount val="5"/>
                <c:pt idx="0">
                  <c:v>8.6666666666666663E-3</c:v>
                </c:pt>
                <c:pt idx="1">
                  <c:v>1.522834645669254E-2</c:v>
                </c:pt>
                <c:pt idx="2">
                  <c:v>3.4913385826772024E-2</c:v>
                </c:pt>
                <c:pt idx="3">
                  <c:v>7.4283464566929122E-2</c:v>
                </c:pt>
                <c:pt idx="4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AB-49F5-8E54-E6329C363A38}"/>
            </c:ext>
          </c:extLst>
        </c:ser>
        <c:ser>
          <c:idx val="0"/>
          <c:order val="1"/>
          <c:tx>
            <c:v>         x** = 0.25</c:v>
          </c:tx>
          <c:spPr>
            <a:ln w="19050">
              <a:solidFill>
                <a:schemeClr val="tx2">
                  <a:lumMod val="60000"/>
                  <a:lumOff val="40000"/>
                </a:schemeClr>
              </a:solidFill>
              <a:prstDash val="sysDot"/>
            </a:ln>
          </c:spPr>
          <c:marker>
            <c:symbol val="diamond"/>
            <c:size val="5"/>
            <c:spPr>
              <a:noFill/>
            </c:spPr>
          </c:marker>
          <c:dPt>
            <c:idx val="2"/>
            <c:marker>
              <c:spPr>
                <a:noFill/>
                <a:ln>
                  <a:solidFill>
                    <a:schemeClr val="tx2">
                      <a:lumMod val="60000"/>
                      <a:lumOff val="40000"/>
                    </a:schemeClr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6AB-49F5-8E54-E6329C363A38}"/>
              </c:ext>
            </c:extLst>
          </c:dPt>
          <c:xVal>
            <c:numRef>
              <c:f>'Gap Profiles DATA'!$Q$52:$Q$58</c:f>
              <c:numCache>
                <c:formatCode>General</c:formatCode>
                <c:ptCount val="7"/>
                <c:pt idx="0">
                  <c:v>0.68683255951159472</c:v>
                </c:pt>
                <c:pt idx="1">
                  <c:v>0.72082327827985393</c:v>
                </c:pt>
                <c:pt idx="2">
                  <c:v>0.77673602819338416</c:v>
                </c:pt>
                <c:pt idx="3">
                  <c:v>0.79700502714655364</c:v>
                </c:pt>
                <c:pt idx="4">
                  <c:v>0.86247904699284239</c:v>
                </c:pt>
                <c:pt idx="5">
                  <c:v>0.93565485046039643</c:v>
                </c:pt>
                <c:pt idx="6">
                  <c:v>1.0600271336310532</c:v>
                </c:pt>
              </c:numCache>
            </c:numRef>
          </c:xVal>
          <c:yVal>
            <c:numRef>
              <c:f>'Gap Profiles DATA'!$J$52:$J$58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1.1291338582677576E-2</c:v>
                </c:pt>
                <c:pt idx="2">
                  <c:v>1.6540682414698461E-2</c:v>
                </c:pt>
                <c:pt idx="3">
                  <c:v>1.9165354330708439E-2</c:v>
                </c:pt>
                <c:pt idx="4">
                  <c:v>3.4913385826772024E-2</c:v>
                </c:pt>
                <c:pt idx="5">
                  <c:v>7.4283464566929122E-2</c:v>
                </c:pt>
                <c:pt idx="6">
                  <c:v>0.20551706036745407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6AB-49F5-8E54-E6329C363A38}"/>
            </c:ext>
          </c:extLst>
        </c:ser>
        <c:ser>
          <c:idx val="2"/>
          <c:order val="2"/>
          <c:tx>
            <c:v>         x** = 0.33</c:v>
          </c:tx>
          <c:spPr>
            <a:ln w="19050">
              <a:solidFill>
                <a:schemeClr val="tx2">
                  <a:lumMod val="40000"/>
                  <a:lumOff val="60000"/>
                </a:schemeClr>
              </a:solidFill>
              <a:prstDash val="sysDash"/>
            </a:ln>
          </c:spPr>
          <c:marker>
            <c:symbol val="triangle"/>
            <c:size val="5"/>
            <c:spPr>
              <a:noFill/>
              <a:ln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marker>
          <c:xVal>
            <c:numRef>
              <c:f>'Gap Profiles DATA'!$Q$59:$Q$65</c:f>
              <c:numCache>
                <c:formatCode>General</c:formatCode>
                <c:ptCount val="7"/>
                <c:pt idx="0">
                  <c:v>0.64652068026980913</c:v>
                </c:pt>
                <c:pt idx="1">
                  <c:v>0.67444142270773866</c:v>
                </c:pt>
                <c:pt idx="2">
                  <c:v>0.77292697999862148</c:v>
                </c:pt>
                <c:pt idx="3">
                  <c:v>0.83372910382043575</c:v>
                </c:pt>
                <c:pt idx="4">
                  <c:v>0.8508889012402957</c:v>
                </c:pt>
                <c:pt idx="5">
                  <c:v>0.87571403386866431</c:v>
                </c:pt>
                <c:pt idx="6">
                  <c:v>1.060534065710377</c:v>
                </c:pt>
              </c:numCache>
            </c:numRef>
          </c:xVal>
          <c:yVal>
            <c:numRef>
              <c:f>'Gap Profiles DATA'!$J$59:$J$65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1.1291338582677576E-2</c:v>
                </c:pt>
                <c:pt idx="2">
                  <c:v>2.1790026246719347E-2</c:v>
                </c:pt>
                <c:pt idx="3">
                  <c:v>3.0976377952756127E-2</c:v>
                </c:pt>
                <c:pt idx="4">
                  <c:v>3.4913385826772024E-2</c:v>
                </c:pt>
                <c:pt idx="5">
                  <c:v>4.1475065616797896E-2</c:v>
                </c:pt>
                <c:pt idx="6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AB-49F5-8E54-E6329C363A38}"/>
            </c:ext>
          </c:extLst>
        </c:ser>
        <c:ser>
          <c:idx val="3"/>
          <c:order val="3"/>
          <c:tx>
            <c:v>         x** = 0.50</c:v>
          </c:tx>
          <c:spPr>
            <a:ln w="19050">
              <a:solidFill>
                <a:schemeClr val="accent5">
                  <a:lumMod val="60000"/>
                  <a:lumOff val="40000"/>
                </a:schemeClr>
              </a:solidFill>
              <a:prstDash val="sysDash"/>
            </a:ln>
          </c:spPr>
          <c:marker>
            <c:symbol val="x"/>
            <c:size val="5"/>
            <c:spPr>
              <a:noFill/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xVal>
            <c:numRef>
              <c:f>'Gap Profiles DATA'!$Q$26:$Q$32</c:f>
              <c:numCache>
                <c:formatCode>General</c:formatCode>
                <c:ptCount val="7"/>
                <c:pt idx="0">
                  <c:v>0.62543497045379015</c:v>
                </c:pt>
                <c:pt idx="1">
                  <c:v>0.68299929972174023</c:v>
                </c:pt>
                <c:pt idx="2">
                  <c:v>0.70571995621950612</c:v>
                </c:pt>
                <c:pt idx="3">
                  <c:v>0.8142042164957719</c:v>
                </c:pt>
                <c:pt idx="4">
                  <c:v>0.88546588175081364</c:v>
                </c:pt>
                <c:pt idx="5">
                  <c:v>0.96415713392237579</c:v>
                </c:pt>
                <c:pt idx="6">
                  <c:v>1.0740208330806975</c:v>
                </c:pt>
              </c:numCache>
            </c:numRef>
          </c:xVal>
          <c:yVal>
            <c:numRef>
              <c:f>'Gap Profiles DATA'!$J$26:$J$32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1.522834645669254E-2</c:v>
                </c:pt>
                <c:pt idx="2">
                  <c:v>1.9165354330708439E-2</c:v>
                </c:pt>
                <c:pt idx="3">
                  <c:v>3.4913385826772024E-2</c:v>
                </c:pt>
                <c:pt idx="4">
                  <c:v>4.934908136482969E-2</c:v>
                </c:pt>
                <c:pt idx="5">
                  <c:v>8.740682414698181E-2</c:v>
                </c:pt>
                <c:pt idx="6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6AB-49F5-8E54-E6329C363A38}"/>
            </c:ext>
          </c:extLst>
        </c:ser>
        <c:ser>
          <c:idx val="4"/>
          <c:order val="4"/>
          <c:tx>
            <c:v>         x** = 0.83</c:v>
          </c:tx>
          <c:spPr>
            <a:ln w="19050">
              <a:prstDash val="dashDot"/>
            </a:ln>
          </c:spPr>
          <c:marker>
            <c:symbol val="square"/>
            <c:size val="5"/>
            <c:spPr>
              <a:noFill/>
              <a:ln>
                <a:solidFill>
                  <a:schemeClr val="accent5"/>
                </a:solidFill>
              </a:ln>
            </c:spPr>
          </c:marker>
          <c:xVal>
            <c:numRef>
              <c:f>'Gap Profiles DATA'!$Q$66:$Q$74</c:f>
              <c:numCache>
                <c:formatCode>General</c:formatCode>
                <c:ptCount val="9"/>
                <c:pt idx="0">
                  <c:v>0.63522099167089119</c:v>
                </c:pt>
                <c:pt idx="1">
                  <c:v>0.7065409936225111</c:v>
                </c:pt>
                <c:pt idx="2">
                  <c:v>0.75628555691302068</c:v>
                </c:pt>
                <c:pt idx="3">
                  <c:v>0.85525354288156108</c:v>
                </c:pt>
                <c:pt idx="4">
                  <c:v>0.91439840679042073</c:v>
                </c:pt>
                <c:pt idx="5">
                  <c:v>0.94019768136585358</c:v>
                </c:pt>
                <c:pt idx="6">
                  <c:v>0.96324017995263722</c:v>
                </c:pt>
                <c:pt idx="7">
                  <c:v>0.99279758846834953</c:v>
                </c:pt>
                <c:pt idx="8">
                  <c:v>1.0560460736252244</c:v>
                </c:pt>
              </c:numCache>
            </c:numRef>
          </c:xVal>
          <c:yVal>
            <c:numRef>
              <c:f>'Gap Profiles DATA'!$J$66:$J$74</c:f>
              <c:numCache>
                <c:formatCode>General</c:formatCode>
                <c:ptCount val="9"/>
                <c:pt idx="0">
                  <c:v>8.6666666666666663E-3</c:v>
                </c:pt>
                <c:pt idx="1">
                  <c:v>2.1790026246719347E-2</c:v>
                </c:pt>
                <c:pt idx="2">
                  <c:v>3.0976377952756127E-2</c:v>
                </c:pt>
                <c:pt idx="3">
                  <c:v>5.4598425196850577E-2</c:v>
                </c:pt>
                <c:pt idx="4">
                  <c:v>7.4283464566929122E-2</c:v>
                </c:pt>
                <c:pt idx="5">
                  <c:v>8.740682414698181E-2</c:v>
                </c:pt>
                <c:pt idx="6">
                  <c:v>0.1005301837270345</c:v>
                </c:pt>
                <c:pt idx="7">
                  <c:v>0.12677690288713891</c:v>
                </c:pt>
                <c:pt idx="8">
                  <c:v>0.20551706036745407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6AB-49F5-8E54-E6329C363A38}"/>
            </c:ext>
          </c:extLst>
        </c:ser>
        <c:ser>
          <c:idx val="5"/>
          <c:order val="5"/>
          <c:tx>
            <c:v>         x** = 1.0</c:v>
          </c:tx>
          <c:spPr>
            <a:ln w="15875">
              <a:solidFill>
                <a:schemeClr val="tx2">
                  <a:lumMod val="40000"/>
                  <a:lumOff val="60000"/>
                </a:schemeClr>
              </a:solidFill>
              <a:prstDash val="dashDot"/>
            </a:ln>
          </c:spPr>
          <c:marker>
            <c:symbol val="circle"/>
            <c:size val="5"/>
            <c:spPr>
              <a:noFill/>
              <a:ln w="3175"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marker>
          <c:xVal>
            <c:numRef>
              <c:f>'Gap Profiles DATA'!$Q$40:$Q$46</c:f>
              <c:numCache>
                <c:formatCode>General</c:formatCode>
                <c:ptCount val="7"/>
                <c:pt idx="0">
                  <c:v>0.63710072394867867</c:v>
                </c:pt>
                <c:pt idx="1">
                  <c:v>0.76819520983492906</c:v>
                </c:pt>
                <c:pt idx="2">
                  <c:v>0.8511621132381878</c:v>
                </c:pt>
                <c:pt idx="3">
                  <c:v>0.95752080960361829</c:v>
                </c:pt>
                <c:pt idx="4">
                  <c:v>1.0032022773215514</c:v>
                </c:pt>
                <c:pt idx="5">
                  <c:v>1.025280041463178</c:v>
                </c:pt>
                <c:pt idx="6">
                  <c:v>1.0699715775426695</c:v>
                </c:pt>
              </c:numCache>
            </c:numRef>
          </c:xVal>
          <c:yVal>
            <c:numRef>
              <c:f>'Gap Profiles DATA'!$J$40:$J$46</c:f>
              <c:numCache>
                <c:formatCode>General</c:formatCode>
                <c:ptCount val="7"/>
                <c:pt idx="0">
                  <c:v>8.6666666666666663E-3</c:v>
                </c:pt>
                <c:pt idx="1">
                  <c:v>3.4913385826772024E-2</c:v>
                </c:pt>
                <c:pt idx="2">
                  <c:v>5.4598425196850577E-2</c:v>
                </c:pt>
                <c:pt idx="3">
                  <c:v>9.3968503937008618E-2</c:v>
                </c:pt>
                <c:pt idx="4">
                  <c:v>0.12021522309711306</c:v>
                </c:pt>
                <c:pt idx="5">
                  <c:v>0.1464619422572184</c:v>
                </c:pt>
                <c:pt idx="6">
                  <c:v>0.1989553805774282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6AB-49F5-8E54-E6329C363A38}"/>
            </c:ext>
          </c:extLst>
        </c:ser>
        <c:ser>
          <c:idx val="7"/>
          <c:order val="6"/>
          <c:tx>
            <c:v>Q13 - x** = 0</c:v>
          </c:tx>
          <c:spPr>
            <a:ln w="25400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circle"/>
            <c:size val="7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xVal>
            <c:numRef>
              <c:f>'Gap Profiles DATA'!$Q$106:$Q$110</c:f>
              <c:numCache>
                <c:formatCode>General</c:formatCode>
                <c:ptCount val="5"/>
                <c:pt idx="0">
                  <c:v>0.6573785925500274</c:v>
                </c:pt>
                <c:pt idx="1">
                  <c:v>0.73835650723403534</c:v>
                </c:pt>
                <c:pt idx="2">
                  <c:v>0.82599268485936395</c:v>
                </c:pt>
                <c:pt idx="3">
                  <c:v>0.92462913641438615</c:v>
                </c:pt>
                <c:pt idx="4">
                  <c:v>1.0699644600765181</c:v>
                </c:pt>
              </c:numCache>
            </c:numRef>
          </c:xVal>
          <c:yVal>
            <c:numRef>
              <c:f>'Gap Profiles DATA'!$J$106:$J$110</c:f>
              <c:numCache>
                <c:formatCode>General</c:formatCode>
                <c:ptCount val="5"/>
                <c:pt idx="0">
                  <c:v>8.6666666666666663E-3</c:v>
                </c:pt>
                <c:pt idx="1">
                  <c:v>2.3102362204724336E-2</c:v>
                </c:pt>
                <c:pt idx="2">
                  <c:v>6.2472440944881441E-2</c:v>
                </c:pt>
                <c:pt idx="3">
                  <c:v>0.1937060367454064</c:v>
                </c:pt>
                <c:pt idx="4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6AB-49F5-8E54-E6329C363A38}"/>
            </c:ext>
          </c:extLst>
        </c:ser>
        <c:ser>
          <c:idx val="6"/>
          <c:order val="7"/>
          <c:tx>
            <c:v>           x** = 0.25</c:v>
          </c:tx>
          <c:spPr>
            <a:ln w="19050">
              <a:solidFill>
                <a:schemeClr val="accent6">
                  <a:lumMod val="75000"/>
                </a:schemeClr>
              </a:solidFill>
              <a:prstDash val="sysDot"/>
            </a:ln>
          </c:spPr>
          <c:marker>
            <c:symbol val="diamond"/>
            <c:size val="5"/>
            <c:spPr>
              <a:noFill/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'Gap Profiles DATA'!$Q$111:$Q$119</c:f>
              <c:numCache>
                <c:formatCode>General</c:formatCode>
                <c:ptCount val="9"/>
                <c:pt idx="0">
                  <c:v>0.59082289191913717</c:v>
                </c:pt>
                <c:pt idx="1">
                  <c:v>0.62440836793226784</c:v>
                </c:pt>
                <c:pt idx="2">
                  <c:v>0.66104389090822391</c:v>
                </c:pt>
                <c:pt idx="3">
                  <c:v>0.71063532109467176</c:v>
                </c:pt>
                <c:pt idx="4">
                  <c:v>0.73985569793997541</c:v>
                </c:pt>
                <c:pt idx="5">
                  <c:v>0.76352340800603136</c:v>
                </c:pt>
                <c:pt idx="6">
                  <c:v>0.81329987551449134</c:v>
                </c:pt>
                <c:pt idx="7">
                  <c:v>0.92044188344525235</c:v>
                </c:pt>
                <c:pt idx="8">
                  <c:v>1.0687987398242547</c:v>
                </c:pt>
              </c:numCache>
            </c:numRef>
          </c:xVal>
          <c:yVal>
            <c:numRef>
              <c:f>'Gap Profiles DATA'!$J$111:$J$119</c:f>
              <c:numCache>
                <c:formatCode>General</c:formatCode>
                <c:ptCount val="9"/>
                <c:pt idx="0">
                  <c:v>8.6666666666666663E-3</c:v>
                </c:pt>
                <c:pt idx="1">
                  <c:v>1.2603674540681632E-2</c:v>
                </c:pt>
                <c:pt idx="2">
                  <c:v>1.7853018372702516E-2</c:v>
                </c:pt>
                <c:pt idx="3">
                  <c:v>2.3102362204724336E-2</c:v>
                </c:pt>
                <c:pt idx="4">
                  <c:v>2.9664041994750204E-2</c:v>
                </c:pt>
                <c:pt idx="5">
                  <c:v>3.622572178477608E-2</c:v>
                </c:pt>
                <c:pt idx="6">
                  <c:v>6.2472440944881441E-2</c:v>
                </c:pt>
                <c:pt idx="7">
                  <c:v>0.1937060367454064</c:v>
                </c:pt>
                <c:pt idx="8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6AB-49F5-8E54-E6329C363A38}"/>
            </c:ext>
          </c:extLst>
        </c:ser>
        <c:ser>
          <c:idx val="8"/>
          <c:order val="8"/>
          <c:tx>
            <c:v>           x** = 0.50</c:v>
          </c:tx>
          <c:spPr>
            <a:ln w="19050">
              <a:solidFill>
                <a:schemeClr val="accent6"/>
              </a:solidFill>
              <a:prstDash val="sysDash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</a:ln>
            </c:spPr>
          </c:marker>
          <c:xVal>
            <c:numRef>
              <c:f>'Gap Profiles DATA'!$Q$120:$Q$127</c:f>
              <c:numCache>
                <c:formatCode>General</c:formatCode>
                <c:ptCount val="8"/>
                <c:pt idx="0">
                  <c:v>0.56697628548147805</c:v>
                </c:pt>
                <c:pt idx="1">
                  <c:v>0.59401816931291873</c:v>
                </c:pt>
                <c:pt idx="2">
                  <c:v>0.62072504263580208</c:v>
                </c:pt>
                <c:pt idx="3">
                  <c:v>0.70071226979842316</c:v>
                </c:pt>
                <c:pt idx="4">
                  <c:v>0.7848925632181265</c:v>
                </c:pt>
                <c:pt idx="5">
                  <c:v>0.81786636380312183</c:v>
                </c:pt>
                <c:pt idx="6">
                  <c:v>0.97810902416308487</c:v>
                </c:pt>
                <c:pt idx="7">
                  <c:v>1.0739842892002858</c:v>
                </c:pt>
              </c:numCache>
            </c:numRef>
          </c:xVal>
          <c:yVal>
            <c:numRef>
              <c:f>'Gap Profiles DATA'!$J$120:$J$127</c:f>
              <c:numCache>
                <c:formatCode>General</c:formatCode>
                <c:ptCount val="8"/>
                <c:pt idx="0">
                  <c:v>8.6666666666666663E-3</c:v>
                </c:pt>
                <c:pt idx="1">
                  <c:v>1.2603674540681632E-2</c:v>
                </c:pt>
                <c:pt idx="2">
                  <c:v>1.6540682414697527E-2</c:v>
                </c:pt>
                <c:pt idx="3">
                  <c:v>2.9664041994750204E-2</c:v>
                </c:pt>
                <c:pt idx="4">
                  <c:v>4.934908136482876E-2</c:v>
                </c:pt>
                <c:pt idx="5">
                  <c:v>6.2472440944881441E-2</c:v>
                </c:pt>
                <c:pt idx="6">
                  <c:v>0.32493963254593133</c:v>
                </c:pt>
                <c:pt idx="7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6AB-49F5-8E54-E6329C363A38}"/>
            </c:ext>
          </c:extLst>
        </c:ser>
        <c:ser>
          <c:idx val="9"/>
          <c:order val="9"/>
          <c:tx>
            <c:v>           x** = 0.83</c:v>
          </c:tx>
          <c:spPr>
            <a:ln w="19050">
              <a:solidFill>
                <a:schemeClr val="accent6"/>
              </a:solidFill>
              <a:prstDash val="dashDot"/>
            </a:ln>
          </c:spPr>
          <c:marker>
            <c:symbol val="square"/>
            <c:size val="5"/>
            <c:spPr>
              <a:noFill/>
              <a:ln>
                <a:solidFill>
                  <a:schemeClr val="accent6">
                    <a:lumMod val="75000"/>
                  </a:schemeClr>
                </a:solidFill>
                <a:prstDash val="solid"/>
              </a:ln>
            </c:spPr>
          </c:marker>
          <c:xVal>
            <c:numRef>
              <c:f>'Gap Profiles DATA'!$Q$128:$Q$137</c:f>
              <c:numCache>
                <c:formatCode>General</c:formatCode>
                <c:ptCount val="10"/>
                <c:pt idx="0">
                  <c:v>0.57627370893278296</c:v>
                </c:pt>
                <c:pt idx="1">
                  <c:v>0.59591504221310243</c:v>
                </c:pt>
                <c:pt idx="2">
                  <c:v>0.62798016211120467</c:v>
                </c:pt>
                <c:pt idx="3">
                  <c:v>0.68953902479017237</c:v>
                </c:pt>
                <c:pt idx="4">
                  <c:v>0.72432749104498795</c:v>
                </c:pt>
                <c:pt idx="5">
                  <c:v>0.78132235253013127</c:v>
                </c:pt>
                <c:pt idx="6">
                  <c:v>0.80831415347194346</c:v>
                </c:pt>
                <c:pt idx="7">
                  <c:v>0.87064537056602698</c:v>
                </c:pt>
                <c:pt idx="8">
                  <c:v>0.92767554676262987</c:v>
                </c:pt>
                <c:pt idx="9">
                  <c:v>1.0711336416452506</c:v>
                </c:pt>
              </c:numCache>
            </c:numRef>
          </c:xVal>
          <c:yVal>
            <c:numRef>
              <c:f>'Gap Profiles DATA'!$J$128:$J$137</c:f>
              <c:numCache>
                <c:formatCode>General</c:formatCode>
                <c:ptCount val="10"/>
                <c:pt idx="0">
                  <c:v>8.6666666666666663E-3</c:v>
                </c:pt>
                <c:pt idx="1">
                  <c:v>1.6540682414697527E-2</c:v>
                </c:pt>
                <c:pt idx="2">
                  <c:v>2.3102362204724336E-2</c:v>
                </c:pt>
                <c:pt idx="3">
                  <c:v>3.622572178477608E-2</c:v>
                </c:pt>
                <c:pt idx="4">
                  <c:v>4.934908136482876E-2</c:v>
                </c:pt>
                <c:pt idx="5">
                  <c:v>6.2472440944881441E-2</c:v>
                </c:pt>
                <c:pt idx="6">
                  <c:v>7.5595800524934129E-2</c:v>
                </c:pt>
                <c:pt idx="7">
                  <c:v>0.11496587926509123</c:v>
                </c:pt>
                <c:pt idx="8">
                  <c:v>0.1937060367454064</c:v>
                </c:pt>
                <c:pt idx="9">
                  <c:v>0.78425721784776847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6AB-49F5-8E54-E6329C363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1.2"/>
          <c:min val="0.1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sz="1600" b="0"/>
                </a:pPr>
                <a:r>
                  <a:rPr lang="en-US" sz="1600" b="0" i="1"/>
                  <a:t>v*</a:t>
                </a:r>
                <a:r>
                  <a:rPr lang="en-US" sz="1600" b="0"/>
                  <a:t> = </a:t>
                </a:r>
                <a:r>
                  <a:rPr lang="en-US" sz="1600" b="0" i="1"/>
                  <a:t>v/V</a:t>
                </a:r>
                <a:r>
                  <a:rPr lang="en-US" sz="1600" b="0" i="0" baseline="-25000"/>
                  <a:t>avg</a:t>
                </a:r>
              </a:p>
            </c:rich>
          </c:tx>
          <c:layout>
            <c:manualLayout>
              <c:xMode val="edge"/>
              <c:yMode val="edge"/>
              <c:x val="0.45521370231405639"/>
              <c:y val="0.94007741032370951"/>
            </c:manualLayout>
          </c:layout>
          <c:overlay val="0"/>
        </c:title>
        <c:numFmt formatCode="General" sourceLinked="1"/>
        <c:majorTickMark val="in"/>
        <c:minorTickMark val="in"/>
        <c:tickLblPos val="low"/>
        <c:spPr>
          <a:ln>
            <a:solidFill>
              <a:schemeClr val="tx1"/>
            </a:solidFill>
          </a:ln>
        </c:spPr>
        <c:crossAx val="104412672"/>
        <c:crossesAt val="1.0000000000000002E-3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ajorGridlines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 rot="0" vert="horz"/>
              <a:lstStyle/>
              <a:p>
                <a:pPr>
                  <a:defRPr sz="1600" b="0"/>
                </a:pPr>
                <a:r>
                  <a:rPr lang="en-US" sz="1600" b="0" i="1"/>
                  <a:t>y**</a:t>
                </a:r>
                <a:r>
                  <a:rPr lang="en-US" sz="1600" b="0"/>
                  <a:t> = </a:t>
                </a:r>
                <a:r>
                  <a:rPr lang="en-US" sz="1600" b="0" i="1"/>
                  <a:t>y/s</a:t>
                </a:r>
                <a:endParaRPr lang="en-US" sz="1600" b="0" i="1" baseline="-25000"/>
              </a:p>
            </c:rich>
          </c:tx>
          <c:layout>
            <c:manualLayout>
              <c:xMode val="edge"/>
              <c:yMode val="edge"/>
              <c:x val="1.0489164778254902E-2"/>
              <c:y val="0.4496913157594431"/>
            </c:manualLayout>
          </c:layout>
          <c:overlay val="0"/>
        </c:title>
        <c:numFmt formatCode="General" sourceLinked="1"/>
        <c:majorTickMark val="in"/>
        <c:minorTickMark val="in"/>
        <c:tickLblPos val="low"/>
        <c:spPr>
          <a:ln>
            <a:solidFill>
              <a:schemeClr val="tx1"/>
            </a:solidFill>
          </a:ln>
        </c:spPr>
        <c:crossAx val="104411136"/>
        <c:crossesAt val="0.1"/>
        <c:crossBetween val="midCat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8327064100190163"/>
          <c:y val="8.1451557685724069E-2"/>
          <c:w val="0.3527932916560122"/>
          <c:h val="0.50741888242230593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25089868578545"/>
          <c:y val="3.8140630924188318E-2"/>
          <c:w val="0.81666335908884791"/>
          <c:h val="0.86432807913200871"/>
        </c:manualLayout>
      </c:layout>
      <c:scatterChart>
        <c:scatterStyle val="lineMarker"/>
        <c:varyColors val="0"/>
        <c:ser>
          <c:idx val="1"/>
          <c:order val="0"/>
          <c:tx>
            <c:v>x=0</c:v>
          </c:tx>
          <c:spPr>
            <a:ln w="28575">
              <a:noFill/>
            </a:ln>
          </c:spPr>
          <c:trendline>
            <c:spPr>
              <a:ln w="12700">
                <a:solidFill>
                  <a:srgbClr val="C00000"/>
                </a:solidFill>
              </a:ln>
            </c:spPr>
            <c:trendlineType val="power"/>
            <c:dispRSqr val="0"/>
            <c:dispEq val="0"/>
          </c:trendline>
          <c:xVal>
            <c:numRef>
              <c:f>'Gap Profiles DATA'!$Q$138:$Q$142</c:f>
              <c:numCache>
                <c:formatCode>General</c:formatCode>
                <c:ptCount val="5"/>
                <c:pt idx="0">
                  <c:v>0.67016720492908888</c:v>
                </c:pt>
                <c:pt idx="1">
                  <c:v>0.7814028733705598</c:v>
                </c:pt>
                <c:pt idx="2">
                  <c:v>0.85095328336878673</c:v>
                </c:pt>
                <c:pt idx="3">
                  <c:v>0.95304462981451621</c:v>
                </c:pt>
                <c:pt idx="4">
                  <c:v>1.0880818913720334</c:v>
                </c:pt>
              </c:numCache>
            </c:numRef>
          </c:xVal>
          <c:yVal>
            <c:numRef>
              <c:f>'Gap Profiles DATA'!$P$138:$P$142</c:f>
              <c:numCache>
                <c:formatCode>General</c:formatCode>
                <c:ptCount val="5"/>
                <c:pt idx="0">
                  <c:v>1.0493717904045652E-2</c:v>
                </c:pt>
                <c:pt idx="1">
                  <c:v>4.2273602531682844E-2</c:v>
                </c:pt>
                <c:pt idx="2">
                  <c:v>8.9943429473137507E-2</c:v>
                </c:pt>
                <c:pt idx="3">
                  <c:v>0.24884285261132125</c:v>
                </c:pt>
                <c:pt idx="4">
                  <c:v>0.80499083359496437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E2-42C2-9EC9-DBCDB7E6CFF9}"/>
            </c:ext>
          </c:extLst>
        </c:ser>
        <c:ser>
          <c:idx val="0"/>
          <c:order val="1"/>
          <c:tx>
            <c:v>x=0.5</c:v>
          </c:tx>
          <c:xVal>
            <c:numRef>
              <c:f>'Gap Profiles DATA'!$Q$143:$Q$149</c:f>
              <c:numCache>
                <c:formatCode>General</c:formatCode>
                <c:ptCount val="7"/>
                <c:pt idx="0">
                  <c:v>0.5399453646135044</c:v>
                </c:pt>
                <c:pt idx="1">
                  <c:v>0.57884473631013089</c:v>
                </c:pt>
                <c:pt idx="2">
                  <c:v>0.71618888897978261</c:v>
                </c:pt>
                <c:pt idx="3">
                  <c:v>0.75394335906662591</c:v>
                </c:pt>
                <c:pt idx="4">
                  <c:v>0.76844392682468077</c:v>
                </c:pt>
                <c:pt idx="5">
                  <c:v>0.81233376678059499</c:v>
                </c:pt>
                <c:pt idx="6">
                  <c:v>1.0673515955398358</c:v>
                </c:pt>
              </c:numCache>
            </c:numRef>
          </c:xVal>
          <c:yVal>
            <c:numRef>
              <c:f>'Gap Profiles DATA'!$P$143:$P$149</c:f>
              <c:numCache>
                <c:formatCode>General</c:formatCode>
                <c:ptCount val="7"/>
                <c:pt idx="0">
                  <c:v>1.0493717904045652E-2</c:v>
                </c:pt>
                <c:pt idx="1">
                  <c:v>1.3671706366809824E-2</c:v>
                </c:pt>
                <c:pt idx="2">
                  <c:v>2.9561648680627297E-2</c:v>
                </c:pt>
                <c:pt idx="3">
                  <c:v>3.7506619837537156E-2</c:v>
                </c:pt>
                <c:pt idx="4">
                  <c:v>4.2273602531682844E-2</c:v>
                </c:pt>
                <c:pt idx="5">
                  <c:v>5.8163544845500313E-2</c:v>
                </c:pt>
                <c:pt idx="6">
                  <c:v>0.7255411220258724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2E2-42C2-9EC9-DBCDB7E6CFF9}"/>
            </c:ext>
          </c:extLst>
        </c:ser>
        <c:ser>
          <c:idx val="2"/>
          <c:order val="2"/>
          <c:tx>
            <c:v>x=1</c:v>
          </c:tx>
          <c:xVal>
            <c:numRef>
              <c:f>'Gap Profiles DATA'!$Q$150:$Q$157</c:f>
              <c:numCache>
                <c:formatCode>General</c:formatCode>
                <c:ptCount val="8"/>
                <c:pt idx="0">
                  <c:v>0.58650689246316878</c:v>
                </c:pt>
                <c:pt idx="1">
                  <c:v>0.59663570702987612</c:v>
                </c:pt>
                <c:pt idx="2">
                  <c:v>0.65796883123661587</c:v>
                </c:pt>
                <c:pt idx="3">
                  <c:v>0.79115469461937438</c:v>
                </c:pt>
                <c:pt idx="4">
                  <c:v>0.82242567494116559</c:v>
                </c:pt>
                <c:pt idx="5">
                  <c:v>0.87121143172968496</c:v>
                </c:pt>
                <c:pt idx="6">
                  <c:v>0.90911894422858475</c:v>
                </c:pt>
                <c:pt idx="7">
                  <c:v>1.0773964426571727</c:v>
                </c:pt>
              </c:numCache>
            </c:numRef>
          </c:xVal>
          <c:yVal>
            <c:numRef>
              <c:f>'Gap Profiles DATA'!$P$150:$P$157</c:f>
              <c:numCache>
                <c:formatCode>General</c:formatCode>
                <c:ptCount val="8"/>
                <c:pt idx="0">
                  <c:v>1.0493717904045652E-2</c:v>
                </c:pt>
                <c:pt idx="1">
                  <c:v>1.6849694829572864E-2</c:v>
                </c:pt>
                <c:pt idx="2">
                  <c:v>2.6383660217864251E-2</c:v>
                </c:pt>
                <c:pt idx="3">
                  <c:v>5.4985556382737277E-2</c:v>
                </c:pt>
                <c:pt idx="4">
                  <c:v>7.405348715931892E-2</c:v>
                </c:pt>
                <c:pt idx="5">
                  <c:v>0.12172331410077472</c:v>
                </c:pt>
                <c:pt idx="6">
                  <c:v>0.16939314104222936</c:v>
                </c:pt>
                <c:pt idx="7">
                  <c:v>0.78910089128114569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2E2-42C2-9EC9-DBCDB7E6CFF9}"/>
            </c:ext>
          </c:extLst>
        </c:ser>
        <c:ser>
          <c:idx val="4"/>
          <c:order val="3"/>
          <c:tx>
            <c:v>x=1.25</c:v>
          </c:tx>
          <c:xVal>
            <c:numRef>
              <c:f>'Gap Profiles DATA'!$Q$158:$Q$168</c:f>
              <c:numCache>
                <c:formatCode>General</c:formatCode>
                <c:ptCount val="11"/>
                <c:pt idx="0">
                  <c:v>0.62859268208322039</c:v>
                </c:pt>
                <c:pt idx="1">
                  <c:v>0.62658267448866534</c:v>
                </c:pt>
                <c:pt idx="2">
                  <c:v>0.62758848297986836</c:v>
                </c:pt>
                <c:pt idx="3">
                  <c:v>0.63904150723127329</c:v>
                </c:pt>
                <c:pt idx="4">
                  <c:v>0.66373275944036159</c:v>
                </c:pt>
                <c:pt idx="5">
                  <c:v>0.68062279123401914</c:v>
                </c:pt>
                <c:pt idx="6">
                  <c:v>0.71276158140932788</c:v>
                </c:pt>
                <c:pt idx="7">
                  <c:v>0.75654697667291282</c:v>
                </c:pt>
                <c:pt idx="8">
                  <c:v>0.80697232163697474</c:v>
                </c:pt>
                <c:pt idx="9">
                  <c:v>0.84775717270158069</c:v>
                </c:pt>
                <c:pt idx="10">
                  <c:v>1.0432156209293082</c:v>
                </c:pt>
              </c:numCache>
            </c:numRef>
          </c:xVal>
          <c:yVal>
            <c:numRef>
              <c:f>'Gap Profiles DATA'!$P$158:$P$168</c:f>
              <c:numCache>
                <c:formatCode>General</c:formatCode>
                <c:ptCount val="11"/>
                <c:pt idx="0">
                  <c:v>1.0493717904045652E-2</c:v>
                </c:pt>
                <c:pt idx="1">
                  <c:v>1.3671706366809824E-2</c:v>
                </c:pt>
                <c:pt idx="2">
                  <c:v>1.6849694829572864E-2</c:v>
                </c:pt>
                <c:pt idx="3">
                  <c:v>2.0027683292337038E-2</c:v>
                </c:pt>
                <c:pt idx="4">
                  <c:v>2.320567175510008E-2</c:v>
                </c:pt>
                <c:pt idx="5">
                  <c:v>2.6383660217864251E-2</c:v>
                </c:pt>
                <c:pt idx="6">
                  <c:v>3.273963714339146E-2</c:v>
                </c:pt>
                <c:pt idx="7">
                  <c:v>4.2273602531682844E-2</c:v>
                </c:pt>
                <c:pt idx="8">
                  <c:v>5.8163544845500313E-2</c:v>
                </c:pt>
                <c:pt idx="9">
                  <c:v>8.1998458316228776E-2</c:v>
                </c:pt>
                <c:pt idx="10">
                  <c:v>0.56664169888768867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2E2-42C2-9EC9-DBCDB7E6CFF9}"/>
            </c:ext>
          </c:extLst>
        </c:ser>
        <c:ser>
          <c:idx val="3"/>
          <c:order val="4"/>
          <c:tx>
            <c:v>x=1.5</c:v>
          </c:tx>
          <c:xVal>
            <c:numRef>
              <c:f>'Gap Profiles DATA'!$Q$169:$Q$178</c:f>
              <c:numCache>
                <c:formatCode>General</c:formatCode>
                <c:ptCount val="10"/>
                <c:pt idx="0">
                  <c:v>0.6230892464555704</c:v>
                </c:pt>
                <c:pt idx="1">
                  <c:v>0.61953620802174003</c:v>
                </c:pt>
                <c:pt idx="2">
                  <c:v>0.61902696633519516</c:v>
                </c:pt>
                <c:pt idx="3">
                  <c:v>0.6230892464555704</c:v>
                </c:pt>
                <c:pt idx="4">
                  <c:v>0.63412634785523092</c:v>
                </c:pt>
                <c:pt idx="5">
                  <c:v>0.65081562445709595</c:v>
                </c:pt>
                <c:pt idx="6">
                  <c:v>0.69123337956181463</c:v>
                </c:pt>
                <c:pt idx="7">
                  <c:v>0.78118913521557476</c:v>
                </c:pt>
                <c:pt idx="8">
                  <c:v>0.83315262044388783</c:v>
                </c:pt>
                <c:pt idx="9">
                  <c:v>1.0525686945860575</c:v>
                </c:pt>
              </c:numCache>
            </c:numRef>
          </c:xVal>
          <c:yVal>
            <c:numRef>
              <c:f>'Gap Profiles DATA'!$P$169:$P$178</c:f>
              <c:numCache>
                <c:formatCode>General</c:formatCode>
                <c:ptCount val="10"/>
                <c:pt idx="0">
                  <c:v>1.0493717904045652E-2</c:v>
                </c:pt>
                <c:pt idx="1">
                  <c:v>1.3671706366809824E-2</c:v>
                </c:pt>
                <c:pt idx="2">
                  <c:v>1.6849694829572864E-2</c:v>
                </c:pt>
                <c:pt idx="3">
                  <c:v>2.0027683292337038E-2</c:v>
                </c:pt>
                <c:pt idx="4">
                  <c:v>2.320567175510008E-2</c:v>
                </c:pt>
                <c:pt idx="5">
                  <c:v>2.6383660217864251E-2</c:v>
                </c:pt>
                <c:pt idx="6">
                  <c:v>3.4328631374772982E-2</c:v>
                </c:pt>
                <c:pt idx="7">
                  <c:v>5.8163544845500313E-2</c:v>
                </c:pt>
                <c:pt idx="8">
                  <c:v>8.1998458316228776E-2</c:v>
                </c:pt>
                <c:pt idx="9">
                  <c:v>0.64609141045678042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E2-42C2-9EC9-DBCDB7E6C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11136"/>
        <c:axId val="104412672"/>
      </c:scatterChart>
      <c:valAx>
        <c:axId val="104411136"/>
        <c:scaling>
          <c:logBase val="10"/>
          <c:orientation val="minMax"/>
          <c:max val="1.5"/>
          <c:min val="0.5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V* = V/V</a:t>
                </a:r>
                <a:r>
                  <a:rPr lang="en-US" baseline="-25000"/>
                  <a:t>avg</a:t>
                </a:r>
              </a:p>
            </c:rich>
          </c:tx>
          <c:overlay val="0"/>
        </c:title>
        <c:numFmt formatCode="General" sourceLinked="1"/>
        <c:majorTickMark val="out"/>
        <c:minorTickMark val="out"/>
        <c:tickLblPos val="low"/>
        <c:crossAx val="104412672"/>
        <c:crosses val="autoZero"/>
        <c:crossBetween val="midCat"/>
      </c:valAx>
      <c:valAx>
        <c:axId val="104412672"/>
        <c:scaling>
          <c:logBase val="10"/>
          <c:orientation val="minMax"/>
        </c:scaling>
        <c:delete val="0"/>
        <c:axPos val="l"/>
        <c:majorGridlines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y* = y/y</a:t>
                </a:r>
                <a:r>
                  <a:rPr lang="en-US" baseline="-25000"/>
                  <a:t>max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04411136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ayout>
        <c:manualLayout>
          <c:xMode val="edge"/>
          <c:yMode val="edge"/>
          <c:x val="0.66458693900886157"/>
          <c:y val="0.29687519092062375"/>
          <c:w val="0.16214573425846521"/>
          <c:h val="0.41842038115842545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18</xdr:row>
      <xdr:rowOff>180975</xdr:rowOff>
    </xdr:from>
    <xdr:to>
      <xdr:col>7</xdr:col>
      <xdr:colOff>522124</xdr:colOff>
      <xdr:row>26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575681E-00A6-4D5A-9D68-1577999F9035}"/>
            </a:ext>
          </a:extLst>
        </xdr:cNvPr>
        <xdr:cNvSpPr txBox="1"/>
      </xdr:nvSpPr>
      <xdr:spPr>
        <a:xfrm>
          <a:off x="114300" y="3657600"/>
          <a:ext cx="5646574" cy="14097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Iterative calculation is required for this spreadsheet due to circular references.  Excel does not always remember the iterative calculation setting.  To re-enable</a:t>
          </a:r>
          <a:r>
            <a:rPr lang="en-US" sz="1400" baseline="0"/>
            <a:t> iterative calculation, go to File / Options / Formulas and check the </a:t>
          </a:r>
          <a:r>
            <a:rPr lang="en-US" sz="1400" b="1" baseline="0"/>
            <a:t>Enable iterative calculation</a:t>
          </a:r>
          <a:r>
            <a:rPr lang="en-US" sz="1400" baseline="0"/>
            <a:t> box.  (See screen shot at right.)</a:t>
          </a:r>
        </a:p>
      </xdr:txBody>
    </xdr:sp>
    <xdr:clientData/>
  </xdr:twoCellAnchor>
  <xdr:twoCellAnchor editAs="oneCell">
    <xdr:from>
      <xdr:col>9</xdr:col>
      <xdr:colOff>400050</xdr:colOff>
      <xdr:row>17</xdr:row>
      <xdr:rowOff>180975</xdr:rowOff>
    </xdr:from>
    <xdr:to>
      <xdr:col>22</xdr:col>
      <xdr:colOff>341917</xdr:colOff>
      <xdr:row>51</xdr:row>
      <xdr:rowOff>161118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0ED44D-3B55-4411-AD2E-A644198EA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0" y="3467100"/>
          <a:ext cx="7866667" cy="64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188285</xdr:colOff>
      <xdr:row>25</xdr:row>
      <xdr:rowOff>0</xdr:rowOff>
    </xdr:from>
    <xdr:to>
      <xdr:col>35</xdr:col>
      <xdr:colOff>142875</xdr:colOff>
      <xdr:row>42</xdr:row>
      <xdr:rowOff>11077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304800</xdr:colOff>
      <xdr:row>105</xdr:row>
      <xdr:rowOff>15240</xdr:rowOff>
    </xdr:from>
    <xdr:to>
      <xdr:col>34</xdr:col>
      <xdr:colOff>76200</xdr:colOff>
      <xdr:row>127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FAC8112-1172-43DA-8ABD-5818C6A587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264794</xdr:colOff>
      <xdr:row>75</xdr:row>
      <xdr:rowOff>85726</xdr:rowOff>
    </xdr:from>
    <xdr:to>
      <xdr:col>31</xdr:col>
      <xdr:colOff>142875</xdr:colOff>
      <xdr:row>89</xdr:row>
      <xdr:rowOff>9526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9C3D80-FFF0-4CC4-9492-EAD2A926D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31</xdr:col>
      <xdr:colOff>438150</xdr:colOff>
      <xdr:row>50</xdr:row>
      <xdr:rowOff>177165</xdr:rowOff>
    </xdr:from>
    <xdr:to>
      <xdr:col>41</xdr:col>
      <xdr:colOff>459416</xdr:colOff>
      <xdr:row>74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24AA9F-0386-4500-8467-D150D4EBF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0</xdr:colOff>
      <xdr:row>51</xdr:row>
      <xdr:rowOff>180974</xdr:rowOff>
    </xdr:from>
    <xdr:to>
      <xdr:col>30</xdr:col>
      <xdr:colOff>483871</xdr:colOff>
      <xdr:row>73</xdr:row>
      <xdr:rowOff>152399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1BC1D55-91B8-4AD5-829F-769EBF51A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41</xdr:col>
      <xdr:colOff>609599</xdr:colOff>
      <xdr:row>51</xdr:row>
      <xdr:rowOff>0</xdr:rowOff>
    </xdr:from>
    <xdr:to>
      <xdr:col>60</xdr:col>
      <xdr:colOff>523875</xdr:colOff>
      <xdr:row>74</xdr:row>
      <xdr:rowOff>148590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24F0B22-4B10-4FC1-98DA-7AE70A287C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264794</xdr:colOff>
      <xdr:row>90</xdr:row>
      <xdr:rowOff>47625</xdr:rowOff>
    </xdr:from>
    <xdr:to>
      <xdr:col>31</xdr:col>
      <xdr:colOff>142875</xdr:colOff>
      <xdr:row>105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D80ABC7-ECB1-43F1-B224-3B19E75FA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62</xdr:col>
      <xdr:colOff>11430</xdr:colOff>
      <xdr:row>47</xdr:row>
      <xdr:rowOff>76200</xdr:rowOff>
    </xdr:from>
    <xdr:to>
      <xdr:col>75</xdr:col>
      <xdr:colOff>592455</xdr:colOff>
      <xdr:row>75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226AD30-F38D-4E71-9E23-C716148798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266700</xdr:colOff>
      <xdr:row>141</xdr:row>
      <xdr:rowOff>133350</xdr:rowOff>
    </xdr:from>
    <xdr:to>
      <xdr:col>34</xdr:col>
      <xdr:colOff>38100</xdr:colOff>
      <xdr:row>163</xdr:row>
      <xdr:rowOff>116205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53FB2EE-A96E-42A5-9FE8-51CB722BD9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35</xdr:col>
      <xdr:colOff>297180</xdr:colOff>
      <xdr:row>136</xdr:row>
      <xdr:rowOff>129540</xdr:rowOff>
    </xdr:from>
    <xdr:to>
      <xdr:col>49</xdr:col>
      <xdr:colOff>272415</xdr:colOff>
      <xdr:row>174</xdr:row>
      <xdr:rowOff>34290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BA6AEC4-99C2-4F60-8FC4-64B80675E7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0.10403</cdr:x>
      <cdr:y>0.89867</cdr:y>
    </cdr:from>
    <cdr:to>
      <cdr:x>0.89262</cdr:x>
      <cdr:y>0.94933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6A884DF-D155-CBC6-162F-031BDBD20634}"/>
            </a:ext>
          </a:extLst>
        </cdr:cNvPr>
        <cdr:cNvSpPr txBox="1"/>
      </cdr:nvSpPr>
      <cdr:spPr>
        <a:xfrm xmlns:a="http://schemas.openxmlformats.org/drawingml/2006/main">
          <a:off x="885826" y="6419851"/>
          <a:ext cx="6715124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/>
            <a:t>                                         0.2                       0.3                0.4           0.5        0.6     0.7     0.8   0.9</a:t>
          </a:r>
        </a:p>
      </cdr:txBody>
    </cdr:sp>
  </cdr:relSizeAnchor>
  <cdr:relSizeAnchor xmlns:cdr="http://schemas.openxmlformats.org/drawingml/2006/chartDrawing">
    <cdr:from>
      <cdr:x>0.18687</cdr:x>
      <cdr:y>0.38588</cdr:y>
    </cdr:from>
    <cdr:to>
      <cdr:x>0.53281</cdr:x>
      <cdr:y>0.38588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AA7BB41-F2EE-9230-2FDE-2DA87375C346}"/>
            </a:ext>
          </a:extLst>
        </cdr:cNvPr>
        <cdr:cNvCxnSpPr/>
      </cdr:nvCxnSpPr>
      <cdr:spPr>
        <a:xfrm xmlns:a="http://schemas.openxmlformats.org/drawingml/2006/main">
          <a:off x="1589446" y="2028894"/>
          <a:ext cx="2942549" cy="0"/>
        </a:xfrm>
        <a:prstGeom xmlns:a="http://schemas.openxmlformats.org/drawingml/2006/main" prst="line">
          <a:avLst/>
        </a:prstGeom>
        <a:ln xmlns:a="http://schemas.openxmlformats.org/drawingml/2006/main" w="41275" cmpd="sng">
          <a:solidFill>
            <a:schemeClr val="bg1">
              <a:lumMod val="50000"/>
            </a:schemeClr>
          </a:solidFill>
          <a:headEnd type="none" w="med" len="med"/>
          <a:tailEnd type="none" w="med" len="med"/>
        </a:ln>
        <a:effectLst xmlns:a="http://schemas.openxmlformats.org/drawingml/2006/main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0.18178</cdr:x>
      <cdr:y>0.59914</cdr:y>
    </cdr:from>
    <cdr:to>
      <cdr:x>0.53841</cdr:x>
      <cdr:y>0.87557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EAB8B26B-AFDE-2718-32BD-CD23278080B3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546225" y="3150134"/>
          <a:ext cx="3033395" cy="14534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0.10403</cdr:x>
      <cdr:y>0.89867</cdr:y>
    </cdr:from>
    <cdr:to>
      <cdr:x>0.89262</cdr:x>
      <cdr:y>0.94933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6A884DF-D155-CBC6-162F-031BDBD20634}"/>
            </a:ext>
          </a:extLst>
        </cdr:cNvPr>
        <cdr:cNvSpPr txBox="1"/>
      </cdr:nvSpPr>
      <cdr:spPr>
        <a:xfrm xmlns:a="http://schemas.openxmlformats.org/drawingml/2006/main">
          <a:off x="885826" y="6419851"/>
          <a:ext cx="6715124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/>
            <a:t>                                         0.2                       0.3                0.4           0.5        0.6     0.7     0.8   0.9</a:t>
          </a:r>
        </a:p>
      </cdr:txBody>
    </cdr:sp>
  </cdr:relSizeAnchor>
  <cdr:relSizeAnchor xmlns:cdr="http://schemas.openxmlformats.org/drawingml/2006/chartDrawing">
    <cdr:from>
      <cdr:x>0.12647</cdr:x>
      <cdr:y>0.39383</cdr:y>
    </cdr:from>
    <cdr:to>
      <cdr:x>0.40612</cdr:x>
      <cdr:y>0.39642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AA7BB41-F2EE-9230-2FDE-2DA87375C346}"/>
            </a:ext>
          </a:extLst>
        </cdr:cNvPr>
        <cdr:cNvCxnSpPr/>
      </cdr:nvCxnSpPr>
      <cdr:spPr>
        <a:xfrm xmlns:a="http://schemas.openxmlformats.org/drawingml/2006/main" flipV="1">
          <a:off x="1076707" y="2669352"/>
          <a:ext cx="2380796" cy="17570"/>
        </a:xfrm>
        <a:prstGeom xmlns:a="http://schemas.openxmlformats.org/drawingml/2006/main" prst="line">
          <a:avLst/>
        </a:prstGeom>
        <a:ln xmlns:a="http://schemas.openxmlformats.org/drawingml/2006/main" w="19050">
          <a:headEnd type="none" w="med" len="med"/>
          <a:tailEnd type="non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0.12792</cdr:x>
      <cdr:y>0.57663</cdr:y>
    </cdr:from>
    <cdr:to>
      <cdr:x>0.40757</cdr:x>
      <cdr:y>0.57922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C9050B8B-448A-F488-BD3B-5022EF640668}"/>
            </a:ext>
          </a:extLst>
        </cdr:cNvPr>
        <cdr:cNvCxnSpPr/>
      </cdr:nvCxnSpPr>
      <cdr:spPr>
        <a:xfrm xmlns:a="http://schemas.openxmlformats.org/drawingml/2006/main" flipV="1">
          <a:off x="1089048" y="3908396"/>
          <a:ext cx="2380795" cy="17571"/>
        </a:xfrm>
        <a:prstGeom xmlns:a="http://schemas.openxmlformats.org/drawingml/2006/main" prst="line">
          <a:avLst/>
        </a:prstGeom>
        <a:ln xmlns:a="http://schemas.openxmlformats.org/drawingml/2006/main" w="19050">
          <a:headEnd type="none" w="med" len="med"/>
          <a:tailEnd type="non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0.43157</cdr:x>
      <cdr:y>0.08763</cdr:y>
    </cdr:from>
    <cdr:to>
      <cdr:x>0.84096</cdr:x>
      <cdr:y>0.3217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574DD99A-8BC1-BDCF-F0E3-9AF6EC8CD108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672470" y="626007"/>
          <a:ext cx="3483760" cy="16721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9</xdr:col>
      <xdr:colOff>444087</xdr:colOff>
      <xdr:row>36</xdr:row>
      <xdr:rowOff>24368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EE25FB-97EE-4CA2-8EB0-51507324BE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21</xdr:row>
      <xdr:rowOff>0</xdr:rowOff>
    </xdr:from>
    <xdr:to>
      <xdr:col>18</xdr:col>
      <xdr:colOff>287967</xdr:colOff>
      <xdr:row>35</xdr:row>
      <xdr:rowOff>157272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34B8FCC-035F-4984-A636-72EB1E1D7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0</xdr:rowOff>
    </xdr:from>
    <xdr:to>
      <xdr:col>9</xdr:col>
      <xdr:colOff>444087</xdr:colOff>
      <xdr:row>52</xdr:row>
      <xdr:rowOff>24368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5E99F7E-F21B-4BE0-A8AC-0233FBED67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37</xdr:row>
      <xdr:rowOff>0</xdr:rowOff>
    </xdr:from>
    <xdr:to>
      <xdr:col>18</xdr:col>
      <xdr:colOff>287967</xdr:colOff>
      <xdr:row>51</xdr:row>
      <xdr:rowOff>157272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382A267-14DA-403D-BB0C-A085C60A0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95250</xdr:colOff>
      <xdr:row>44</xdr:row>
      <xdr:rowOff>34636</xdr:rowOff>
    </xdr:from>
    <xdr:to>
      <xdr:col>19</xdr:col>
      <xdr:colOff>29158</xdr:colOff>
      <xdr:row>63</xdr:row>
      <xdr:rowOff>38878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A3110EAC-2492-490F-836C-C3D90BA5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17145</xdr:colOff>
      <xdr:row>0</xdr:row>
      <xdr:rowOff>228602</xdr:rowOff>
    </xdr:from>
    <xdr:to>
      <xdr:col>21</xdr:col>
      <xdr:colOff>277090</xdr:colOff>
      <xdr:row>6</xdr:row>
      <xdr:rowOff>147205</xdr:rowOff>
    </xdr:to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26EE0C8C-11D6-4126-9D90-9F5ABC92D1CD}"/>
            </a:ext>
          </a:extLst>
        </xdr:cNvPr>
        <xdr:cNvSpPr txBox="1"/>
      </xdr:nvSpPr>
      <xdr:spPr>
        <a:xfrm>
          <a:off x="14704695" y="228602"/>
          <a:ext cx="1021945" cy="1309253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600"/>
            <a:t>THIS WAS THE TOTAL UPLIFT PRESSURE IN THE JOINT, INCLUDING THE HYDROSTATIC PRESSURE OF THE WATER FLOWING ON TOP.</a:t>
          </a:r>
        </a:p>
        <a:p>
          <a:endParaRPr lang="en-US" sz="600"/>
        </a:p>
        <a:p>
          <a:r>
            <a:rPr lang="en-US" sz="600"/>
            <a:t>IT HAS NOW BEEN CHANGED TO BE THE</a:t>
          </a:r>
          <a:r>
            <a:rPr lang="en-US" sz="600" baseline="0"/>
            <a:t> NET UPLIFT IN EXCESS OF THE HYDROSTATIC PRESSURE OF THE OVERFLOWING WATER.</a:t>
          </a:r>
          <a:endParaRPr lang="en-US" sz="600"/>
        </a:p>
      </xdr:txBody>
    </xdr:sp>
    <xdr:clientData/>
  </xdr:twoCellAnchor>
  <xdr:twoCellAnchor>
    <xdr:from>
      <xdr:col>10</xdr:col>
      <xdr:colOff>352425</xdr:colOff>
      <xdr:row>44</xdr:row>
      <xdr:rowOff>0</xdr:rowOff>
    </xdr:from>
    <xdr:to>
      <xdr:col>14</xdr:col>
      <xdr:colOff>742951</xdr:colOff>
      <xdr:row>63</xdr:row>
      <xdr:rowOff>4242</xdr:rowOff>
    </xdr:to>
    <xdr:graphicFrame macro="">
      <xdr:nvGraphicFramePr>
        <xdr:cNvPr id="212" name="Chart 211">
          <a:extLst>
            <a:ext uri="{FF2B5EF4-FFF2-40B4-BE49-F238E27FC236}">
              <a16:creationId xmlns:a16="http://schemas.microsoft.com/office/drawing/2014/main" id="{A5B15881-6E51-4980-AA5C-7E2F7103FC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pillway%20Joints\Reports-Papers\Closeout%202024\RISE%20data,%20Oroville%20case%20studies.xlsx" TargetMode="External"/><Relationship Id="rId1" Type="http://schemas.openxmlformats.org/officeDocument/2006/relationships/externalLinkPath" Target="RISE%20data,%20Oroville%20case%20studi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pillway%20Joints\Reports-Papers\Closeout%202024\RISE%20data,%20Spillway%20uplift%20testing.xlsx" TargetMode="External"/><Relationship Id="rId1" Type="http://schemas.openxmlformats.org/officeDocument/2006/relationships/externalLinkPath" Target="RISE%20data,%20Spillway%20uplift%20test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JHE2"/>
      <sheetName val="EM46"/>
    </sheetNames>
    <sheetDataSet>
      <sheetData sheetId="0" refreshError="1"/>
      <sheetData sheetId="1" refreshError="1"/>
      <sheetData sheetId="2">
        <row r="2">
          <cell r="C2">
            <v>32.17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Sheet1"/>
      <sheetName val="JHE1 TABLE"/>
      <sheetName val="JHE2 table"/>
      <sheetName val="JHE3 TABLEs"/>
      <sheetName val="BetaCurveFits"/>
      <sheetName val="Attached_v_Detached"/>
      <sheetName val="Tilted"/>
      <sheetName val="relief"/>
      <sheetName val="skewed"/>
      <sheetName val="chamfer"/>
      <sheetName val="LatProfile"/>
      <sheetName val="90-V"/>
      <sheetName val="Gaps"/>
      <sheetName val="skew-tilt"/>
      <sheetName val="curve study"/>
      <sheetName val="apply"/>
      <sheetName val="QC"/>
    </sheetNames>
    <sheetDataSet>
      <sheetData sheetId="0"/>
      <sheetData sheetId="1">
        <row r="3">
          <cell r="T3">
            <v>1.2E-5</v>
          </cell>
        </row>
        <row r="5">
          <cell r="J5">
            <v>0.26179938779914941</v>
          </cell>
        </row>
        <row r="6">
          <cell r="G6">
            <v>5.95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rise.bor.doi.net/admin/rise/catalog-record/view/8049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EDD71-45FC-43C1-96A9-E8D9BD8D1532}">
  <dimension ref="A1:B14"/>
  <sheetViews>
    <sheetView tabSelected="1" workbookViewId="0">
      <selection activeCell="B6" sqref="B6:B8"/>
    </sheetView>
  </sheetViews>
  <sheetFormatPr defaultRowHeight="15"/>
  <cols>
    <col min="1" max="1" width="22.140625" customWidth="1"/>
    <col min="2" max="2" width="10.7109375" bestFit="1" customWidth="1"/>
  </cols>
  <sheetData>
    <row r="1" spans="1:2" ht="18.75">
      <c r="A1" s="150" t="s">
        <v>208</v>
      </c>
    </row>
    <row r="3" spans="1:2">
      <c r="A3" s="151" t="s">
        <v>209</v>
      </c>
      <c r="B3" t="s">
        <v>210</v>
      </c>
    </row>
    <row r="4" spans="1:2">
      <c r="A4" s="151" t="s">
        <v>211</v>
      </c>
      <c r="B4" t="s">
        <v>212</v>
      </c>
    </row>
    <row r="5" spans="1:2">
      <c r="A5" s="151" t="s">
        <v>213</v>
      </c>
      <c r="B5" s="129">
        <v>45565</v>
      </c>
    </row>
    <row r="6" spans="1:2">
      <c r="A6" s="152" t="s">
        <v>214</v>
      </c>
      <c r="B6" s="153" t="s">
        <v>225</v>
      </c>
    </row>
    <row r="7" spans="1:2">
      <c r="A7" s="154" t="s">
        <v>215</v>
      </c>
      <c r="B7" s="155" t="s">
        <v>226</v>
      </c>
    </row>
    <row r="8" spans="1:2">
      <c r="A8" s="154" t="s">
        <v>216</v>
      </c>
      <c r="B8" s="155" t="s">
        <v>227</v>
      </c>
    </row>
    <row r="9" spans="1:2">
      <c r="A9" s="151" t="s">
        <v>217</v>
      </c>
      <c r="B9" s="1" t="s">
        <v>221</v>
      </c>
    </row>
    <row r="10" spans="1:2">
      <c r="A10" s="151"/>
      <c r="B10" s="1"/>
    </row>
    <row r="11" spans="1:2">
      <c r="A11" s="151" t="s">
        <v>218</v>
      </c>
      <c r="B11" s="1" t="s">
        <v>222</v>
      </c>
    </row>
    <row r="12" spans="1:2">
      <c r="A12" s="151" t="s">
        <v>219</v>
      </c>
      <c r="B12" s="1" t="s">
        <v>223</v>
      </c>
    </row>
    <row r="13" spans="1:2">
      <c r="A13" s="151" t="s">
        <v>220</v>
      </c>
      <c r="B13" s="1" t="s">
        <v>224</v>
      </c>
    </row>
    <row r="14" spans="1:2">
      <c r="A14" s="151"/>
    </row>
  </sheetData>
  <hyperlinks>
    <hyperlink ref="B6" r:id="rId1" display="https://rise.bor.doi.net/admin/rise/catalog-record/view/8049" xr:uid="{E0342727-0B60-4B59-B89B-5AA886968663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J178"/>
  <sheetViews>
    <sheetView zoomScaleNormal="100" workbookViewId="0">
      <pane ySplit="9" topLeftCell="A10" activePane="bottomLeft" state="frozen"/>
      <selection pane="bottomLeft" activeCell="A10" sqref="A10"/>
    </sheetView>
  </sheetViews>
  <sheetFormatPr defaultRowHeight="15"/>
  <cols>
    <col min="3" max="3" width="9.5703125" bestFit="1" customWidth="1"/>
    <col min="6" max="6" width="14.42578125" customWidth="1"/>
    <col min="9" max="10" width="10.28515625" customWidth="1"/>
    <col min="11" max="11" width="9.28515625" customWidth="1"/>
    <col min="12" max="13" width="12" customWidth="1"/>
    <col min="15" max="19" width="8.85546875" customWidth="1"/>
  </cols>
  <sheetData>
    <row r="1" spans="2:21">
      <c r="B1" s="1" t="s">
        <v>17</v>
      </c>
      <c r="C1" s="1"/>
    </row>
    <row r="3" spans="2:21">
      <c r="G3" s="8" t="s">
        <v>9</v>
      </c>
      <c r="H3">
        <v>5.1999999999999998E-2</v>
      </c>
      <c r="I3" t="s">
        <v>10</v>
      </c>
    </row>
    <row r="4" spans="2:21">
      <c r="G4" s="1" t="s">
        <v>3</v>
      </c>
      <c r="H4">
        <v>3.2</v>
      </c>
      <c r="I4" t="s">
        <v>6</v>
      </c>
    </row>
    <row r="5" spans="2:21">
      <c r="G5" t="s">
        <v>1</v>
      </c>
      <c r="H5">
        <v>5.95</v>
      </c>
      <c r="I5" t="s">
        <v>6</v>
      </c>
    </row>
    <row r="6" spans="2:21">
      <c r="G6" t="s">
        <v>2</v>
      </c>
      <c r="H6">
        <f>MIN(G10:G13)-0</f>
        <v>40.5</v>
      </c>
    </row>
    <row r="7" spans="2:21" ht="23.25">
      <c r="G7" s="1" t="s">
        <v>18</v>
      </c>
      <c r="H7">
        <v>1.0200000000000001E-2</v>
      </c>
      <c r="I7" t="s">
        <v>6</v>
      </c>
      <c r="L7" s="39" t="s">
        <v>23</v>
      </c>
      <c r="M7" s="15"/>
    </row>
    <row r="8" spans="2:21">
      <c r="G8" t="s">
        <v>21</v>
      </c>
      <c r="H8">
        <f>RADIANS(15)</f>
        <v>0.26179938779914941</v>
      </c>
    </row>
    <row r="9" spans="2:21" ht="76.5">
      <c r="C9" t="s">
        <v>82</v>
      </c>
      <c r="D9" t="s">
        <v>83</v>
      </c>
      <c r="E9" s="15" t="s">
        <v>201</v>
      </c>
      <c r="F9" s="15" t="s">
        <v>200</v>
      </c>
      <c r="G9" t="s">
        <v>0</v>
      </c>
      <c r="H9" s="5" t="s">
        <v>14</v>
      </c>
      <c r="I9" s="1" t="s">
        <v>16</v>
      </c>
      <c r="J9" s="1" t="s">
        <v>198</v>
      </c>
      <c r="K9" s="16" t="s">
        <v>20</v>
      </c>
      <c r="L9" s="16" t="s">
        <v>22</v>
      </c>
      <c r="M9" s="16" t="s">
        <v>190</v>
      </c>
      <c r="N9" s="16" t="s">
        <v>189</v>
      </c>
      <c r="O9" s="15" t="s">
        <v>15</v>
      </c>
      <c r="P9" s="15" t="s">
        <v>191</v>
      </c>
      <c r="Q9" s="139" t="s">
        <v>202</v>
      </c>
      <c r="R9" s="15" t="s">
        <v>195</v>
      </c>
      <c r="S9" s="128" t="s">
        <v>192</v>
      </c>
      <c r="T9" s="128" t="s">
        <v>193</v>
      </c>
    </row>
    <row r="10" spans="2:21">
      <c r="C10" s="133">
        <v>45054</v>
      </c>
      <c r="D10" s="102">
        <v>0.41319444444444442</v>
      </c>
      <c r="E10" s="13">
        <v>3</v>
      </c>
      <c r="F10" s="13">
        <v>0</v>
      </c>
      <c r="G10" s="112">
        <v>40.5</v>
      </c>
      <c r="H10" s="112">
        <v>5.7750000000000004</v>
      </c>
      <c r="I10" s="3">
        <f t="shared" ref="I10:I46" si="0">(G10-$G$10)/2.54+$H$3/2</f>
        <v>2.5999999999999999E-2</v>
      </c>
      <c r="J10" s="3">
        <f t="shared" ref="J10:J73" si="1">I10/E10</f>
        <v>8.6666666666666663E-3</v>
      </c>
      <c r="K10" s="108">
        <f t="shared" ref="K10:K41" si="2">$H$4-F10*SIN(theta)/12</f>
        <v>3.2</v>
      </c>
      <c r="L10" s="20">
        <v>8.3404514545471958E-2</v>
      </c>
      <c r="M10" s="20">
        <f>2.9655705844832/2</f>
        <v>1.4827852922416001</v>
      </c>
      <c r="N10" s="13">
        <f t="shared" ref="N10:N41" si="3">H10-$H$7-(K10+L10*COS(theta))</f>
        <v>2.4842374253714263</v>
      </c>
      <c r="O10" s="13">
        <f t="shared" ref="O10:O15" si="4">SQRT(2*32.17*N10)</f>
        <v>12.642619821397682</v>
      </c>
      <c r="P10" s="13">
        <f>I10/12/L10</f>
        <v>2.597781041559093E-2</v>
      </c>
      <c r="Q10" s="13">
        <f>O10/(M10/L10)</f>
        <v>0.71112896405424164</v>
      </c>
      <c r="R10" s="13"/>
    </row>
    <row r="11" spans="2:21">
      <c r="C11" s="133">
        <v>45054</v>
      </c>
      <c r="D11" s="102">
        <v>0.41319444444444442</v>
      </c>
      <c r="E11" s="13">
        <v>3</v>
      </c>
      <c r="F11" s="13">
        <f>F10</f>
        <v>0</v>
      </c>
      <c r="G11" s="112">
        <v>40.549999999999997</v>
      </c>
      <c r="H11" s="112">
        <f>offset+0.235</f>
        <v>6.1850000000000005</v>
      </c>
      <c r="I11" s="13">
        <f t="shared" si="0"/>
        <v>4.5685039370077618E-2</v>
      </c>
      <c r="J11" s="13">
        <f t="shared" si="1"/>
        <v>1.522834645669254E-2</v>
      </c>
      <c r="K11" s="108">
        <f t="shared" si="2"/>
        <v>3.2</v>
      </c>
      <c r="L11" s="13">
        <f>L10</f>
        <v>8.3404514545471958E-2</v>
      </c>
      <c r="M11" s="13">
        <f>M10</f>
        <v>1.4827852922416001</v>
      </c>
      <c r="N11" s="13">
        <f t="shared" si="3"/>
        <v>2.8942374253714265</v>
      </c>
      <c r="O11" s="13">
        <f t="shared" si="4"/>
        <v>13.646070348213716</v>
      </c>
      <c r="P11" s="13">
        <f t="shared" ref="P11:P15" si="5">I11/12/L11</f>
        <v>4.5646049676334004E-2</v>
      </c>
      <c r="Q11" s="13">
        <f t="shared" ref="Q11:Q15" si="6">O11/(M11/L11)</f>
        <v>0.76757159569983047</v>
      </c>
      <c r="R11" s="13"/>
    </row>
    <row r="12" spans="2:21">
      <c r="C12" s="133">
        <v>45054</v>
      </c>
      <c r="D12" s="102">
        <v>0.41319444444444442</v>
      </c>
      <c r="E12" s="13">
        <v>3</v>
      </c>
      <c r="F12" s="13">
        <f t="shared" ref="F12:F15" si="7">F11</f>
        <v>0</v>
      </c>
      <c r="G12" s="112">
        <v>40.700000000000003</v>
      </c>
      <c r="H12" s="112">
        <f>offset+0.87</f>
        <v>6.82</v>
      </c>
      <c r="I12" s="13">
        <f t="shared" si="0"/>
        <v>0.10474015748031608</v>
      </c>
      <c r="J12" s="13">
        <f t="shared" si="1"/>
        <v>3.4913385826772024E-2</v>
      </c>
      <c r="K12" s="108">
        <f t="shared" si="2"/>
        <v>3.2</v>
      </c>
      <c r="L12" s="13">
        <f t="shared" ref="L12:M46" si="8">L11</f>
        <v>8.3404514545471958E-2</v>
      </c>
      <c r="M12" s="13">
        <f t="shared" si="8"/>
        <v>1.4827852922416001</v>
      </c>
      <c r="N12" s="13">
        <f t="shared" si="3"/>
        <v>3.5292374253714263</v>
      </c>
      <c r="O12" s="13">
        <f t="shared" si="4"/>
        <v>15.068879717762616</v>
      </c>
      <c r="P12" s="13">
        <f t="shared" si="5"/>
        <v>0.10465076745856881</v>
      </c>
      <c r="Q12" s="13">
        <f t="shared" si="6"/>
        <v>0.84760255188673572</v>
      </c>
      <c r="R12" s="13"/>
    </row>
    <row r="13" spans="2:21">
      <c r="C13" s="133">
        <v>45054</v>
      </c>
      <c r="D13" s="102">
        <v>0.41319444444444442</v>
      </c>
      <c r="E13" s="13">
        <v>3</v>
      </c>
      <c r="F13" s="13">
        <f t="shared" si="7"/>
        <v>0</v>
      </c>
      <c r="G13" s="112">
        <v>41.1</v>
      </c>
      <c r="H13" s="112">
        <f>offset+1.735</f>
        <v>7.6850000000000005</v>
      </c>
      <c r="I13" s="13">
        <f t="shared" si="0"/>
        <v>0.26222047244094543</v>
      </c>
      <c r="J13" s="13">
        <f t="shared" si="1"/>
        <v>8.740682414698181E-2</v>
      </c>
      <c r="K13" s="108">
        <f t="shared" si="2"/>
        <v>3.2</v>
      </c>
      <c r="L13" s="13">
        <f t="shared" si="8"/>
        <v>8.3404514545471958E-2</v>
      </c>
      <c r="M13" s="13">
        <f t="shared" si="8"/>
        <v>1.4827852922416001</v>
      </c>
      <c r="N13" s="13">
        <f t="shared" si="3"/>
        <v>4.3942374253714265</v>
      </c>
      <c r="O13" s="13">
        <f t="shared" si="4"/>
        <v>16.814435344322376</v>
      </c>
      <c r="P13" s="13">
        <f t="shared" si="5"/>
        <v>0.26199668154452177</v>
      </c>
      <c r="Q13" s="13">
        <f t="shared" si="6"/>
        <v>0.94578751528439831</v>
      </c>
      <c r="R13" s="13"/>
    </row>
    <row r="14" spans="2:21">
      <c r="C14" s="133">
        <v>45054</v>
      </c>
      <c r="D14" s="102">
        <v>0.41319444444444442</v>
      </c>
      <c r="E14" s="13">
        <v>3</v>
      </c>
      <c r="F14" s="13">
        <f t="shared" si="7"/>
        <v>0</v>
      </c>
      <c r="G14" s="112">
        <v>42.1</v>
      </c>
      <c r="H14" s="112">
        <f>offset+2.86</f>
        <v>8.81</v>
      </c>
      <c r="I14" s="13">
        <f t="shared" si="0"/>
        <v>0.65592125984252025</v>
      </c>
      <c r="J14" s="13">
        <f t="shared" si="1"/>
        <v>0.21864041994750674</v>
      </c>
      <c r="K14" s="108">
        <f t="shared" si="2"/>
        <v>3.2</v>
      </c>
      <c r="L14" s="13">
        <f t="shared" si="8"/>
        <v>8.3404514545471958E-2</v>
      </c>
      <c r="M14" s="13">
        <f t="shared" si="8"/>
        <v>1.4827852922416001</v>
      </c>
      <c r="N14" s="13">
        <f t="shared" si="3"/>
        <v>5.5192374253714274</v>
      </c>
      <c r="O14" s="13">
        <f t="shared" si="4"/>
        <v>18.844302479752272</v>
      </c>
      <c r="P14" s="13">
        <f t="shared" si="5"/>
        <v>0.65536146675940565</v>
      </c>
      <c r="Q14" s="13">
        <f t="shared" si="6"/>
        <v>1.0599645872503598</v>
      </c>
      <c r="R14" s="13"/>
    </row>
    <row r="15" spans="2:21">
      <c r="C15" s="134">
        <v>45054</v>
      </c>
      <c r="D15" s="135">
        <v>0.41319444444444442</v>
      </c>
      <c r="E15" s="136">
        <v>3</v>
      </c>
      <c r="F15" s="136">
        <f t="shared" si="7"/>
        <v>0</v>
      </c>
      <c r="G15" s="137">
        <v>42.4</v>
      </c>
      <c r="H15" s="137">
        <f>offset+3.325</f>
        <v>9.2750000000000004</v>
      </c>
      <c r="I15" s="136">
        <f t="shared" si="0"/>
        <v>0.7740314960629916</v>
      </c>
      <c r="J15" s="136">
        <f t="shared" si="1"/>
        <v>0.25801049868766385</v>
      </c>
      <c r="K15" s="138">
        <f t="shared" si="2"/>
        <v>3.2</v>
      </c>
      <c r="L15" s="136">
        <f t="shared" si="8"/>
        <v>8.3404514545471958E-2</v>
      </c>
      <c r="M15" s="136">
        <f t="shared" si="8"/>
        <v>1.4827852922416001</v>
      </c>
      <c r="N15" s="136">
        <f t="shared" si="3"/>
        <v>5.9842374253714272</v>
      </c>
      <c r="O15" s="136">
        <f t="shared" si="4"/>
        <v>19.622075220230851</v>
      </c>
      <c r="P15" s="136">
        <f t="shared" si="5"/>
        <v>0.77337090232386962</v>
      </c>
      <c r="Q15" s="136">
        <f t="shared" si="6"/>
        <v>1.1037131718807416</v>
      </c>
      <c r="R15" s="140"/>
    </row>
    <row r="16" spans="2:21">
      <c r="C16" s="129">
        <v>45054</v>
      </c>
      <c r="D16" s="64">
        <v>0.41319444444444442</v>
      </c>
      <c r="E16">
        <v>3</v>
      </c>
      <c r="F16">
        <v>0.75</v>
      </c>
      <c r="G16" s="11">
        <v>40.5</v>
      </c>
      <c r="H16" s="11">
        <v>5.42</v>
      </c>
      <c r="I16">
        <f t="shared" si="0"/>
        <v>2.5999999999999999E-2</v>
      </c>
      <c r="J16">
        <f t="shared" si="1"/>
        <v>8.6666666666666663E-3</v>
      </c>
      <c r="K16" s="18">
        <f t="shared" si="2"/>
        <v>3.1838238096810927</v>
      </c>
      <c r="L16">
        <v>8.3404514545471958E-2</v>
      </c>
      <c r="M16">
        <f>2.9655705844832/2</f>
        <v>1.4827852922416001</v>
      </c>
      <c r="N16">
        <f t="shared" si="3"/>
        <v>2.1454136156903334</v>
      </c>
      <c r="O16">
        <f t="shared" ref="O16:O25" si="9">SQRT(2*32.17*N16)</f>
        <v>11.748868542694487</v>
      </c>
      <c r="P16">
        <f t="shared" ref="P16:P46" si="10">I16/12/L16</f>
        <v>2.597781041559093E-2</v>
      </c>
      <c r="Q16">
        <f t="shared" ref="Q16:Q46" si="11">O16/(M16/L16)</f>
        <v>0.66085675545150813</v>
      </c>
      <c r="R16" s="141">
        <f>(M16/L16)*F16/12/0.0000106</f>
        <v>104824.51526363991</v>
      </c>
      <c r="S16">
        <v>0.06</v>
      </c>
      <c r="T16">
        <f>S16*L16*12</f>
        <v>6.0051250472739806E-2</v>
      </c>
      <c r="U16" s="75">
        <f>O16/O$10-1</f>
        <v>-7.0693518537235267E-2</v>
      </c>
    </row>
    <row r="17" spans="3:21">
      <c r="C17" s="129">
        <v>45054</v>
      </c>
      <c r="D17" s="64">
        <v>0.41319444444444442</v>
      </c>
      <c r="E17">
        <v>3</v>
      </c>
      <c r="F17">
        <f t="shared" ref="F17:F25" si="12">F16</f>
        <v>0.75</v>
      </c>
      <c r="G17" s="11">
        <v>40.51</v>
      </c>
      <c r="H17" s="11">
        <v>5.51</v>
      </c>
      <c r="I17">
        <f t="shared" si="0"/>
        <v>2.9937007874014963E-2</v>
      </c>
      <c r="J17">
        <f t="shared" si="1"/>
        <v>9.9790026246716537E-3</v>
      </c>
      <c r="K17" s="18">
        <f t="shared" si="2"/>
        <v>3.1838238096810927</v>
      </c>
      <c r="L17">
        <f t="shared" si="8"/>
        <v>8.3404514545471958E-2</v>
      </c>
      <c r="M17">
        <f>M16</f>
        <v>1.4827852922416001</v>
      </c>
      <c r="N17">
        <f t="shared" si="3"/>
        <v>2.2354136156903333</v>
      </c>
      <c r="O17">
        <f t="shared" si="9"/>
        <v>11.992769156183906</v>
      </c>
      <c r="P17">
        <f t="shared" si="10"/>
        <v>2.9911458267738982E-2</v>
      </c>
      <c r="Q17">
        <f t="shared" si="11"/>
        <v>0.67457580997131339</v>
      </c>
    </row>
    <row r="18" spans="3:21">
      <c r="C18" s="129">
        <v>45054</v>
      </c>
      <c r="D18" s="64">
        <v>0.41319444444444442</v>
      </c>
      <c r="E18">
        <v>3</v>
      </c>
      <c r="F18">
        <f t="shared" si="12"/>
        <v>0.75</v>
      </c>
      <c r="G18" s="11">
        <v>40.53</v>
      </c>
      <c r="H18" s="11">
        <v>5.7119999999999997</v>
      </c>
      <c r="I18">
        <f t="shared" si="0"/>
        <v>3.781102362204769E-2</v>
      </c>
      <c r="J18">
        <f t="shared" si="1"/>
        <v>1.2603674540682563E-2</v>
      </c>
      <c r="K18" s="18">
        <f t="shared" si="2"/>
        <v>3.1838238096810927</v>
      </c>
      <c r="L18">
        <f t="shared" si="8"/>
        <v>8.3404514545471958E-2</v>
      </c>
      <c r="M18">
        <f t="shared" ref="M18" si="13">M17</f>
        <v>1.4827852922416001</v>
      </c>
      <c r="N18">
        <f t="shared" si="3"/>
        <v>2.4374136156903332</v>
      </c>
      <c r="O18">
        <f t="shared" si="9"/>
        <v>12.522906692677864</v>
      </c>
      <c r="P18">
        <f t="shared" si="10"/>
        <v>3.7778753972037893E-2</v>
      </c>
      <c r="Q18">
        <f t="shared" si="11"/>
        <v>0.7043952748021034</v>
      </c>
    </row>
    <row r="19" spans="3:21">
      <c r="C19" s="129">
        <v>45054</v>
      </c>
      <c r="D19" s="64">
        <v>0.41319444444444442</v>
      </c>
      <c r="E19">
        <v>3</v>
      </c>
      <c r="F19">
        <f t="shared" si="12"/>
        <v>0.75</v>
      </c>
      <c r="G19" s="11">
        <v>40.549999999999997</v>
      </c>
      <c r="H19" s="11">
        <v>5.94</v>
      </c>
      <c r="I19">
        <f t="shared" si="0"/>
        <v>4.5685039370077618E-2</v>
      </c>
      <c r="J19">
        <f t="shared" si="1"/>
        <v>1.522834645669254E-2</v>
      </c>
      <c r="K19" s="18">
        <f t="shared" si="2"/>
        <v>3.1838238096810927</v>
      </c>
      <c r="L19">
        <f t="shared" si="8"/>
        <v>8.3404514545471958E-2</v>
      </c>
      <c r="M19">
        <f t="shared" ref="M19" si="14">M18</f>
        <v>1.4827852922416001</v>
      </c>
      <c r="N19">
        <f t="shared" si="3"/>
        <v>2.6654136156903339</v>
      </c>
      <c r="O19">
        <f t="shared" si="9"/>
        <v>13.095522594899224</v>
      </c>
      <c r="P19">
        <f t="shared" si="10"/>
        <v>4.5646049676334004E-2</v>
      </c>
      <c r="Q19">
        <f t="shared" si="11"/>
        <v>0.73660408587925574</v>
      </c>
    </row>
    <row r="20" spans="3:21">
      <c r="C20" s="129">
        <v>45054</v>
      </c>
      <c r="D20" s="64">
        <v>0.41319444444444442</v>
      </c>
      <c r="E20">
        <v>3</v>
      </c>
      <c r="F20">
        <f t="shared" si="12"/>
        <v>0.75</v>
      </c>
      <c r="G20" s="11">
        <v>40.6</v>
      </c>
      <c r="H20" s="11">
        <f>offset+0.525</f>
        <v>6.4750000000000005</v>
      </c>
      <c r="I20">
        <f t="shared" si="0"/>
        <v>6.5370078740158044E-2</v>
      </c>
      <c r="J20">
        <f t="shared" si="1"/>
        <v>2.1790026246719347E-2</v>
      </c>
      <c r="K20" s="18">
        <f t="shared" si="2"/>
        <v>3.1838238096810927</v>
      </c>
      <c r="L20">
        <f t="shared" si="8"/>
        <v>8.3404514545471958E-2</v>
      </c>
      <c r="M20">
        <f t="shared" ref="M20" si="15">M19</f>
        <v>1.4827852922416001</v>
      </c>
      <c r="N20">
        <f t="shared" si="3"/>
        <v>3.200413615690334</v>
      </c>
      <c r="O20">
        <f t="shared" si="9"/>
        <v>14.349725155330193</v>
      </c>
      <c r="P20">
        <f t="shared" si="10"/>
        <v>6.531428893707987E-2</v>
      </c>
      <c r="Q20">
        <f t="shared" si="11"/>
        <v>0.80715115445470309</v>
      </c>
    </row>
    <row r="21" spans="3:21">
      <c r="C21" s="129">
        <v>45054</v>
      </c>
      <c r="D21" s="64">
        <v>0.41319444444444442</v>
      </c>
      <c r="E21">
        <v>3</v>
      </c>
      <c r="F21">
        <f t="shared" si="12"/>
        <v>0.75</v>
      </c>
      <c r="G21" s="11">
        <v>40.65</v>
      </c>
      <c r="H21" s="11">
        <f>offset+0.88</f>
        <v>6.83</v>
      </c>
      <c r="I21">
        <f t="shared" si="0"/>
        <v>8.5055118110235653E-2</v>
      </c>
      <c r="J21">
        <f t="shared" si="1"/>
        <v>2.8351706036745219E-2</v>
      </c>
      <c r="K21" s="18">
        <f t="shared" si="2"/>
        <v>3.1838238096810927</v>
      </c>
      <c r="L21">
        <f t="shared" si="8"/>
        <v>8.3404514545471958E-2</v>
      </c>
      <c r="M21">
        <f t="shared" ref="M21:M25" si="16">M20</f>
        <v>1.4827852922416001</v>
      </c>
      <c r="N21">
        <f t="shared" si="3"/>
        <v>3.5554136156903335</v>
      </c>
      <c r="O21">
        <f t="shared" si="9"/>
        <v>15.12465907164575</v>
      </c>
      <c r="P21">
        <f t="shared" si="10"/>
        <v>8.498252819782294E-2</v>
      </c>
      <c r="Q21">
        <f t="shared" si="11"/>
        <v>0.85074005935772623</v>
      </c>
    </row>
    <row r="22" spans="3:21">
      <c r="C22" s="129">
        <v>45054</v>
      </c>
      <c r="D22" s="64">
        <v>0.41319444444444442</v>
      </c>
      <c r="E22">
        <v>3</v>
      </c>
      <c r="F22">
        <f t="shared" si="12"/>
        <v>0.75</v>
      </c>
      <c r="G22" s="11">
        <v>40.700000000000003</v>
      </c>
      <c r="H22" s="11">
        <f>offset+1.07</f>
        <v>7.0200000000000005</v>
      </c>
      <c r="I22">
        <f t="shared" si="0"/>
        <v>0.10474015748031608</v>
      </c>
      <c r="J22">
        <f t="shared" si="1"/>
        <v>3.4913385826772024E-2</v>
      </c>
      <c r="K22" s="18">
        <f t="shared" si="2"/>
        <v>3.1838238096810927</v>
      </c>
      <c r="L22">
        <f t="shared" si="8"/>
        <v>8.3404514545471958E-2</v>
      </c>
      <c r="M22">
        <f t="shared" si="16"/>
        <v>1.4827852922416001</v>
      </c>
      <c r="N22">
        <f t="shared" si="3"/>
        <v>3.7454136156903339</v>
      </c>
      <c r="O22">
        <f t="shared" si="9"/>
        <v>15.52352769294132</v>
      </c>
      <c r="P22">
        <f t="shared" si="10"/>
        <v>0.10465076745856881</v>
      </c>
      <c r="Q22">
        <f t="shared" si="11"/>
        <v>0.87317583876600902</v>
      </c>
    </row>
    <row r="23" spans="3:21">
      <c r="C23" s="129">
        <v>45054</v>
      </c>
      <c r="D23" s="64">
        <v>0.41319444444444442</v>
      </c>
      <c r="E23">
        <v>3</v>
      </c>
      <c r="F23">
        <f t="shared" si="12"/>
        <v>0.75</v>
      </c>
      <c r="G23" s="11">
        <v>41.1</v>
      </c>
      <c r="H23" s="11">
        <f>offset+1.91</f>
        <v>7.86</v>
      </c>
      <c r="I23">
        <f t="shared" si="0"/>
        <v>0.26222047244094543</v>
      </c>
      <c r="J23">
        <f t="shared" si="1"/>
        <v>8.740682414698181E-2</v>
      </c>
      <c r="K23" s="18">
        <f t="shared" si="2"/>
        <v>3.1838238096810927</v>
      </c>
      <c r="L23">
        <f t="shared" si="8"/>
        <v>8.3404514545471958E-2</v>
      </c>
      <c r="M23">
        <f t="shared" si="16"/>
        <v>1.4827852922416001</v>
      </c>
      <c r="N23">
        <f t="shared" si="3"/>
        <v>4.5854136156903333</v>
      </c>
      <c r="O23">
        <f t="shared" si="9"/>
        <v>17.176306705270374</v>
      </c>
      <c r="P23">
        <f t="shared" si="10"/>
        <v>0.26199668154452177</v>
      </c>
      <c r="Q23">
        <f t="shared" si="11"/>
        <v>0.96614225264637321</v>
      </c>
    </row>
    <row r="24" spans="3:21">
      <c r="C24" s="129">
        <v>45054</v>
      </c>
      <c r="D24" s="64">
        <v>0.41319444444444442</v>
      </c>
      <c r="E24">
        <v>3</v>
      </c>
      <c r="F24">
        <f t="shared" si="12"/>
        <v>0.75</v>
      </c>
      <c r="G24" s="11">
        <v>42.1</v>
      </c>
      <c r="H24" s="11">
        <f>offset+3.085</f>
        <v>9.0350000000000001</v>
      </c>
      <c r="I24">
        <f t="shared" si="0"/>
        <v>0.65592125984252025</v>
      </c>
      <c r="J24">
        <f t="shared" si="1"/>
        <v>0.21864041994750674</v>
      </c>
      <c r="K24" s="18">
        <f t="shared" si="2"/>
        <v>3.1838238096810927</v>
      </c>
      <c r="L24">
        <f t="shared" si="8"/>
        <v>8.3404514545471958E-2</v>
      </c>
      <c r="M24">
        <f t="shared" si="16"/>
        <v>1.4827852922416001</v>
      </c>
      <c r="N24">
        <f t="shared" si="3"/>
        <v>5.7604136156903341</v>
      </c>
      <c r="O24">
        <f t="shared" si="9"/>
        <v>19.251623620710959</v>
      </c>
      <c r="P24">
        <f t="shared" si="10"/>
        <v>0.65536146675940565</v>
      </c>
      <c r="Q24">
        <f t="shared" si="11"/>
        <v>1.0828758085873404</v>
      </c>
    </row>
    <row r="25" spans="3:21">
      <c r="C25" s="130">
        <v>45054</v>
      </c>
      <c r="D25" s="81">
        <v>0.41319444444444442</v>
      </c>
      <c r="E25" s="4">
        <v>3</v>
      </c>
      <c r="F25" s="4">
        <f t="shared" si="12"/>
        <v>0.75</v>
      </c>
      <c r="G25" s="93">
        <v>42.4</v>
      </c>
      <c r="H25" s="93">
        <f>offset+3.3</f>
        <v>9.25</v>
      </c>
      <c r="I25" s="4">
        <f t="shared" si="0"/>
        <v>0.7740314960629916</v>
      </c>
      <c r="J25" s="4">
        <f t="shared" si="1"/>
        <v>0.25801049868766385</v>
      </c>
      <c r="K25" s="88">
        <f t="shared" si="2"/>
        <v>3.1838238096810927</v>
      </c>
      <c r="L25" s="4">
        <f t="shared" si="8"/>
        <v>8.3404514545471958E-2</v>
      </c>
      <c r="M25" s="4">
        <f t="shared" si="16"/>
        <v>1.4827852922416001</v>
      </c>
      <c r="N25" s="4">
        <f t="shared" si="3"/>
        <v>5.9754136156903339</v>
      </c>
      <c r="O25" s="4">
        <f t="shared" si="9"/>
        <v>19.607603424016819</v>
      </c>
      <c r="P25" s="4">
        <f t="shared" si="10"/>
        <v>0.77337090232386962</v>
      </c>
      <c r="Q25" s="4">
        <f t="shared" si="11"/>
        <v>1.1028991544069051</v>
      </c>
      <c r="R25" s="131"/>
    </row>
    <row r="26" spans="3:21">
      <c r="C26" s="129">
        <v>45054</v>
      </c>
      <c r="D26" s="64">
        <v>0.41319444444444442</v>
      </c>
      <c r="E26">
        <v>3</v>
      </c>
      <c r="F26">
        <v>1.5</v>
      </c>
      <c r="G26" s="11">
        <v>40.5</v>
      </c>
      <c r="H26" s="11">
        <v>5.18</v>
      </c>
      <c r="I26">
        <f t="shared" si="0"/>
        <v>2.5999999999999999E-2</v>
      </c>
      <c r="J26">
        <f t="shared" si="1"/>
        <v>8.6666666666666663E-3</v>
      </c>
      <c r="K26" s="18">
        <f t="shared" si="2"/>
        <v>3.1676476193621852</v>
      </c>
      <c r="L26">
        <v>8.3404514545471958E-2</v>
      </c>
      <c r="M26">
        <f>2.9655705844832/2</f>
        <v>1.4827852922416001</v>
      </c>
      <c r="N26">
        <f t="shared" si="3"/>
        <v>1.9215898060092407</v>
      </c>
      <c r="O26">
        <f t="shared" ref="O26:O32" si="17">SQRT(2*32.17*N26)</f>
        <v>11.119131626104377</v>
      </c>
      <c r="P26">
        <f t="shared" si="10"/>
        <v>2.597781041559093E-2</v>
      </c>
      <c r="Q26">
        <f t="shared" si="11"/>
        <v>0.62543497045379015</v>
      </c>
      <c r="R26" s="141">
        <f>(M26/L26)*F26/12/0.0000106</f>
        <v>209649.03052727983</v>
      </c>
      <c r="S26">
        <v>0.15</v>
      </c>
      <c r="T26">
        <f>S26*L26*12</f>
        <v>0.15012812618184954</v>
      </c>
      <c r="U26" s="75">
        <f>O26/O$10-1</f>
        <v>-0.12050415315936303</v>
      </c>
    </row>
    <row r="27" spans="3:21">
      <c r="C27" s="129">
        <v>45054</v>
      </c>
      <c r="D27" s="64">
        <v>0.41319444444444442</v>
      </c>
      <c r="E27">
        <v>3</v>
      </c>
      <c r="F27">
        <f>F26</f>
        <v>1.5</v>
      </c>
      <c r="G27" s="11">
        <v>40.549999999999997</v>
      </c>
      <c r="H27" s="11">
        <v>5.55</v>
      </c>
      <c r="I27">
        <f t="shared" si="0"/>
        <v>4.5685039370077618E-2</v>
      </c>
      <c r="J27">
        <f t="shared" si="1"/>
        <v>1.522834645669254E-2</v>
      </c>
      <c r="K27" s="18">
        <f t="shared" si="2"/>
        <v>3.1676476193621852</v>
      </c>
      <c r="L27">
        <f t="shared" si="8"/>
        <v>8.3404514545471958E-2</v>
      </c>
      <c r="M27">
        <f>M26</f>
        <v>1.4827852922416001</v>
      </c>
      <c r="N27">
        <f t="shared" si="3"/>
        <v>2.2915898060092408</v>
      </c>
      <c r="O27">
        <f t="shared" si="17"/>
        <v>12.142523959977783</v>
      </c>
      <c r="P27">
        <f t="shared" si="10"/>
        <v>4.5646049676334004E-2</v>
      </c>
      <c r="Q27">
        <f t="shared" si="11"/>
        <v>0.68299929972174023</v>
      </c>
    </row>
    <row r="28" spans="3:21">
      <c r="C28" s="129">
        <v>45054</v>
      </c>
      <c r="D28" s="64">
        <v>0.41319444444444442</v>
      </c>
      <c r="E28">
        <v>3</v>
      </c>
      <c r="F28">
        <f t="shared" ref="F28:F32" si="18">F27</f>
        <v>1.5</v>
      </c>
      <c r="G28" s="11">
        <v>40.58</v>
      </c>
      <c r="H28" s="11">
        <v>5.7050000000000001</v>
      </c>
      <c r="I28">
        <f t="shared" si="0"/>
        <v>5.7496062992125313E-2</v>
      </c>
      <c r="J28">
        <f t="shared" si="1"/>
        <v>1.9165354330708439E-2</v>
      </c>
      <c r="K28" s="18">
        <f t="shared" si="2"/>
        <v>3.1676476193621852</v>
      </c>
      <c r="L28">
        <f t="shared" si="8"/>
        <v>8.3404514545471958E-2</v>
      </c>
      <c r="M28">
        <f t="shared" ref="M28" si="19">M27</f>
        <v>1.4827852922416001</v>
      </c>
      <c r="N28">
        <f t="shared" si="3"/>
        <v>2.446589806009241</v>
      </c>
      <c r="O28">
        <f t="shared" si="17"/>
        <v>12.54645719391074</v>
      </c>
      <c r="P28">
        <f t="shared" si="10"/>
        <v>5.744699323278097E-2</v>
      </c>
      <c r="Q28">
        <f t="shared" si="11"/>
        <v>0.70571995621950612</v>
      </c>
    </row>
    <row r="29" spans="3:21">
      <c r="C29" s="129">
        <v>45054</v>
      </c>
      <c r="D29" s="64">
        <v>0.41319444444444442</v>
      </c>
      <c r="E29">
        <v>3</v>
      </c>
      <c r="F29">
        <f t="shared" si="18"/>
        <v>1.5</v>
      </c>
      <c r="G29" s="11">
        <v>40.700000000000003</v>
      </c>
      <c r="H29" s="11">
        <v>6.5149999999999997</v>
      </c>
      <c r="I29">
        <f t="shared" si="0"/>
        <v>0.10474015748031608</v>
      </c>
      <c r="J29">
        <f t="shared" si="1"/>
        <v>3.4913385826772024E-2</v>
      </c>
      <c r="K29" s="18">
        <f t="shared" si="2"/>
        <v>3.1676476193621852</v>
      </c>
      <c r="L29">
        <f t="shared" si="8"/>
        <v>8.3404514545471958E-2</v>
      </c>
      <c r="M29">
        <f t="shared" ref="M29" si="20">M28</f>
        <v>1.4827852922416001</v>
      </c>
      <c r="N29">
        <f t="shared" si="3"/>
        <v>3.2565898060092406</v>
      </c>
      <c r="O29">
        <f t="shared" si="17"/>
        <v>14.475116169434861</v>
      </c>
      <c r="P29">
        <f t="shared" si="10"/>
        <v>0.10465076745856881</v>
      </c>
      <c r="Q29">
        <f t="shared" si="11"/>
        <v>0.8142042164957719</v>
      </c>
    </row>
    <row r="30" spans="3:21">
      <c r="C30" s="129">
        <v>45054</v>
      </c>
      <c r="D30" s="64">
        <v>0.41319444444444442</v>
      </c>
      <c r="E30">
        <v>3</v>
      </c>
      <c r="F30">
        <f t="shared" si="18"/>
        <v>1.5</v>
      </c>
      <c r="G30" s="11">
        <v>40.81</v>
      </c>
      <c r="H30" s="11">
        <f>offset+1.16</f>
        <v>7.11</v>
      </c>
      <c r="I30">
        <f t="shared" si="0"/>
        <v>0.14804724409448908</v>
      </c>
      <c r="J30">
        <f t="shared" si="1"/>
        <v>4.934908136482969E-2</v>
      </c>
      <c r="K30" s="18">
        <f t="shared" si="2"/>
        <v>3.1676476193621852</v>
      </c>
      <c r="L30">
        <f t="shared" si="8"/>
        <v>8.3404514545471958E-2</v>
      </c>
      <c r="M30">
        <f t="shared" ref="M30" si="21">M29</f>
        <v>1.4827852922416001</v>
      </c>
      <c r="N30">
        <f t="shared" si="3"/>
        <v>3.8515898060092413</v>
      </c>
      <c r="O30">
        <f t="shared" si="17"/>
        <v>15.742022999558683</v>
      </c>
      <c r="P30">
        <f t="shared" si="10"/>
        <v>0.1479208938322058</v>
      </c>
      <c r="Q30">
        <f t="shared" si="11"/>
        <v>0.88546588175081364</v>
      </c>
    </row>
    <row r="31" spans="3:21">
      <c r="C31" s="129">
        <v>45054</v>
      </c>
      <c r="D31" s="64">
        <v>0.41319444444444442</v>
      </c>
      <c r="E31">
        <v>3</v>
      </c>
      <c r="F31">
        <f t="shared" si="18"/>
        <v>1.5</v>
      </c>
      <c r="G31" s="11">
        <v>41.1</v>
      </c>
      <c r="H31" s="11">
        <f>offset+1.875</f>
        <v>7.8250000000000002</v>
      </c>
      <c r="I31">
        <f t="shared" si="0"/>
        <v>0.26222047244094543</v>
      </c>
      <c r="J31">
        <f t="shared" si="1"/>
        <v>8.740682414698181E-2</v>
      </c>
      <c r="K31" s="18">
        <f t="shared" si="2"/>
        <v>3.1676476193621852</v>
      </c>
      <c r="L31">
        <f t="shared" si="8"/>
        <v>8.3404514545471958E-2</v>
      </c>
      <c r="M31">
        <f t="shared" ref="M31:M32" si="22">M30</f>
        <v>1.4827852922416001</v>
      </c>
      <c r="N31">
        <f t="shared" si="3"/>
        <v>4.5665898060092411</v>
      </c>
      <c r="O31">
        <f t="shared" si="17"/>
        <v>17.141014792556319</v>
      </c>
      <c r="P31">
        <f t="shared" si="10"/>
        <v>0.26199668154452177</v>
      </c>
      <c r="Q31">
        <f t="shared" si="11"/>
        <v>0.96415713392237579</v>
      </c>
    </row>
    <row r="32" spans="3:21">
      <c r="C32" s="130">
        <v>45054</v>
      </c>
      <c r="D32" s="81">
        <v>0.41319444444444442</v>
      </c>
      <c r="E32" s="4">
        <v>3</v>
      </c>
      <c r="F32" s="4">
        <f t="shared" si="18"/>
        <v>1.5</v>
      </c>
      <c r="G32" s="93">
        <v>42</v>
      </c>
      <c r="H32" s="93">
        <f>offset+2.975</f>
        <v>8.9250000000000007</v>
      </c>
      <c r="I32" s="4">
        <f t="shared" si="0"/>
        <v>0.61655118110236218</v>
      </c>
      <c r="J32" s="4">
        <f t="shared" si="1"/>
        <v>0.20551706036745407</v>
      </c>
      <c r="K32" s="88">
        <f t="shared" si="2"/>
        <v>3.1676476193621852</v>
      </c>
      <c r="L32" s="4">
        <f t="shared" si="8"/>
        <v>8.3404514545471958E-2</v>
      </c>
      <c r="M32" s="4">
        <f t="shared" si="22"/>
        <v>1.4827852922416001</v>
      </c>
      <c r="N32" s="4">
        <f t="shared" si="3"/>
        <v>5.6665898060092426</v>
      </c>
      <c r="O32" s="4">
        <f t="shared" si="17"/>
        <v>19.094197760540627</v>
      </c>
      <c r="P32" s="4">
        <f t="shared" si="10"/>
        <v>0.61602498823791674</v>
      </c>
      <c r="Q32" s="4">
        <f t="shared" si="11"/>
        <v>1.0740208330806975</v>
      </c>
      <c r="R32" s="131"/>
    </row>
    <row r="33" spans="1:21">
      <c r="C33" s="129">
        <v>45054</v>
      </c>
      <c r="D33" s="64">
        <v>0.41319444444444442</v>
      </c>
      <c r="E33">
        <v>3</v>
      </c>
      <c r="F33">
        <v>2.25</v>
      </c>
      <c r="G33" s="11">
        <v>40.5</v>
      </c>
      <c r="H33" s="11">
        <v>5.23</v>
      </c>
      <c r="I33">
        <f t="shared" si="0"/>
        <v>2.5999999999999999E-2</v>
      </c>
      <c r="J33">
        <f t="shared" si="1"/>
        <v>8.6666666666666663E-3</v>
      </c>
      <c r="K33" s="18">
        <f t="shared" si="2"/>
        <v>3.1514714290432777</v>
      </c>
      <c r="L33">
        <v>8.3404514545471958E-2</v>
      </c>
      <c r="M33">
        <f>2.9655705844832/2</f>
        <v>1.4827852922416001</v>
      </c>
      <c r="N33">
        <f t="shared" si="3"/>
        <v>1.9877659963281489</v>
      </c>
      <c r="O33">
        <f t="shared" ref="O33:O39" si="23">SQRT(2*32.17*N33)</f>
        <v>11.308972729817377</v>
      </c>
      <c r="P33">
        <f t="shared" si="10"/>
        <v>2.597781041559093E-2</v>
      </c>
      <c r="Q33">
        <f t="shared" si="11"/>
        <v>0.63611325623043347</v>
      </c>
      <c r="R33" s="141">
        <f>(M33/L33)*F33/12/0.0000106</f>
        <v>314473.54579091974</v>
      </c>
      <c r="S33">
        <v>0.22</v>
      </c>
      <c r="T33">
        <f>S33*L33*12</f>
        <v>0.22018791840004598</v>
      </c>
      <c r="U33" s="75">
        <f>O33/O$10-1</f>
        <v>-0.10548819077222449</v>
      </c>
    </row>
    <row r="34" spans="1:21">
      <c r="C34" s="129">
        <v>45054</v>
      </c>
      <c r="D34" s="64">
        <v>0.41319444444444442</v>
      </c>
      <c r="E34">
        <v>3</v>
      </c>
      <c r="F34">
        <f t="shared" ref="F34:F39" si="24">F33</f>
        <v>2.25</v>
      </c>
      <c r="G34" s="11">
        <v>40.6</v>
      </c>
      <c r="H34" s="11">
        <v>5.7649999999999997</v>
      </c>
      <c r="I34">
        <f t="shared" si="0"/>
        <v>6.5370078740158044E-2</v>
      </c>
      <c r="J34">
        <f t="shared" si="1"/>
        <v>2.1790026246719347E-2</v>
      </c>
      <c r="K34" s="18">
        <f t="shared" si="2"/>
        <v>3.1514714290432777</v>
      </c>
      <c r="L34">
        <f t="shared" si="8"/>
        <v>8.3404514545471958E-2</v>
      </c>
      <c r="M34">
        <f>M33</f>
        <v>1.4827852922416001</v>
      </c>
      <c r="N34">
        <f t="shared" si="3"/>
        <v>2.5227659963281481</v>
      </c>
      <c r="O34">
        <f t="shared" si="23"/>
        <v>12.740281166589419</v>
      </c>
      <c r="P34">
        <f t="shared" si="10"/>
        <v>6.531428893707987E-2</v>
      </c>
      <c r="Q34">
        <f t="shared" si="11"/>
        <v>0.71662227257853972</v>
      </c>
    </row>
    <row r="35" spans="1:21">
      <c r="C35" s="129">
        <v>45054</v>
      </c>
      <c r="D35" s="64">
        <v>0.41319444444444442</v>
      </c>
      <c r="E35">
        <v>3</v>
      </c>
      <c r="F35">
        <f t="shared" si="24"/>
        <v>2.25</v>
      </c>
      <c r="G35" s="11">
        <v>40.65</v>
      </c>
      <c r="H35" s="11">
        <f>offset+0.11</f>
        <v>6.0600000000000005</v>
      </c>
      <c r="I35">
        <f t="shared" si="0"/>
        <v>8.5055118110235653E-2</v>
      </c>
      <c r="J35">
        <f t="shared" si="1"/>
        <v>2.8351706036745219E-2</v>
      </c>
      <c r="K35" s="18">
        <f t="shared" si="2"/>
        <v>3.1514714290432777</v>
      </c>
      <c r="L35">
        <f t="shared" si="8"/>
        <v>8.3404514545471958E-2</v>
      </c>
      <c r="M35">
        <f t="shared" ref="M35" si="25">M34</f>
        <v>1.4827852922416001</v>
      </c>
      <c r="N35">
        <f t="shared" si="3"/>
        <v>2.8177659963281489</v>
      </c>
      <c r="O35">
        <f t="shared" si="23"/>
        <v>13.464585556330841</v>
      </c>
      <c r="P35">
        <f t="shared" si="10"/>
        <v>8.498252819782294E-2</v>
      </c>
      <c r="Q35">
        <f t="shared" si="11"/>
        <v>0.75736334030130648</v>
      </c>
    </row>
    <row r="36" spans="1:21">
      <c r="C36" s="129">
        <v>45054</v>
      </c>
      <c r="D36" s="64">
        <v>0.41319444444444442</v>
      </c>
      <c r="E36">
        <v>3</v>
      </c>
      <c r="F36">
        <f t="shared" si="24"/>
        <v>2.25</v>
      </c>
      <c r="G36" s="11">
        <v>40.799999999999997</v>
      </c>
      <c r="H36" s="11">
        <f>offset+0.88</f>
        <v>6.83</v>
      </c>
      <c r="I36">
        <f t="shared" si="0"/>
        <v>0.14411023622047131</v>
      </c>
      <c r="J36">
        <f t="shared" si="1"/>
        <v>4.8036745406823768E-2</v>
      </c>
      <c r="K36" s="18">
        <f t="shared" si="2"/>
        <v>3.1514714290432777</v>
      </c>
      <c r="L36">
        <f t="shared" si="8"/>
        <v>8.3404514545471958E-2</v>
      </c>
      <c r="M36">
        <f t="shared" ref="M36" si="26">M35</f>
        <v>1.4827852922416001</v>
      </c>
      <c r="N36">
        <f t="shared" si="3"/>
        <v>3.5877659963281485</v>
      </c>
      <c r="O36">
        <f t="shared" si="23"/>
        <v>15.193316432028693</v>
      </c>
      <c r="P36">
        <f t="shared" si="10"/>
        <v>0.14398724598005494</v>
      </c>
      <c r="Q36">
        <f t="shared" si="11"/>
        <v>0.85460193595083445</v>
      </c>
    </row>
    <row r="37" spans="1:21">
      <c r="C37" s="129">
        <v>45054</v>
      </c>
      <c r="D37" s="64">
        <v>0.41319444444444442</v>
      </c>
      <c r="E37">
        <v>3</v>
      </c>
      <c r="F37">
        <f t="shared" si="24"/>
        <v>2.25</v>
      </c>
      <c r="G37" s="11">
        <v>41</v>
      </c>
      <c r="H37" s="11">
        <f>offset+1.59</f>
        <v>7.54</v>
      </c>
      <c r="I37">
        <f t="shared" si="0"/>
        <v>0.22285039370078738</v>
      </c>
      <c r="J37">
        <f t="shared" si="1"/>
        <v>7.4283464566929122E-2</v>
      </c>
      <c r="K37" s="18">
        <f t="shared" si="2"/>
        <v>3.1514714290432777</v>
      </c>
      <c r="L37">
        <f t="shared" si="8"/>
        <v>8.3404514545471958E-2</v>
      </c>
      <c r="M37">
        <f t="shared" ref="M37" si="27">M36</f>
        <v>1.4827852922416001</v>
      </c>
      <c r="N37">
        <f t="shared" si="3"/>
        <v>4.2977659963281489</v>
      </c>
      <c r="O37">
        <f t="shared" si="23"/>
        <v>16.628838329954174</v>
      </c>
      <c r="P37">
        <f t="shared" si="10"/>
        <v>0.22266020302303283</v>
      </c>
      <c r="Q37">
        <f t="shared" si="11"/>
        <v>0.93534795335627352</v>
      </c>
    </row>
    <row r="38" spans="1:21">
      <c r="C38" s="129">
        <v>45054</v>
      </c>
      <c r="D38" s="64">
        <v>0.41319444444444442</v>
      </c>
      <c r="E38">
        <v>3</v>
      </c>
      <c r="F38">
        <f t="shared" si="24"/>
        <v>2.25</v>
      </c>
      <c r="G38" s="11">
        <v>41.4</v>
      </c>
      <c r="H38" s="11">
        <f>offset+2.27</f>
        <v>8.2200000000000006</v>
      </c>
      <c r="I38">
        <f t="shared" si="0"/>
        <v>0.38033070866141677</v>
      </c>
      <c r="J38">
        <f t="shared" si="1"/>
        <v>0.12677690288713891</v>
      </c>
      <c r="K38" s="18">
        <f t="shared" si="2"/>
        <v>3.1514714290432777</v>
      </c>
      <c r="L38">
        <f t="shared" si="8"/>
        <v>8.3404514545471958E-2</v>
      </c>
      <c r="M38">
        <f t="shared" ref="M38:M39" si="28">M37</f>
        <v>1.4827852922416001</v>
      </c>
      <c r="N38">
        <f t="shared" si="3"/>
        <v>4.9777659963281504</v>
      </c>
      <c r="O38">
        <f t="shared" si="23"/>
        <v>17.896073988552718</v>
      </c>
      <c r="P38">
        <f t="shared" si="10"/>
        <v>0.38000611710898585</v>
      </c>
      <c r="Q38">
        <f t="shared" si="11"/>
        <v>1.0066281147344198</v>
      </c>
    </row>
    <row r="39" spans="1:21">
      <c r="C39" s="130">
        <v>45054</v>
      </c>
      <c r="D39" s="81">
        <v>0.41319444444444442</v>
      </c>
      <c r="E39" s="4">
        <v>3</v>
      </c>
      <c r="F39" s="4">
        <f t="shared" si="24"/>
        <v>2.25</v>
      </c>
      <c r="G39" s="93">
        <v>42</v>
      </c>
      <c r="H39" s="93">
        <f>offset+2.9</f>
        <v>8.85</v>
      </c>
      <c r="I39" s="4">
        <f t="shared" si="0"/>
        <v>0.61655118110236218</v>
      </c>
      <c r="J39" s="4">
        <f t="shared" si="1"/>
        <v>0.20551706036745407</v>
      </c>
      <c r="K39" s="88">
        <f t="shared" si="2"/>
        <v>3.1514714290432777</v>
      </c>
      <c r="L39" s="4">
        <f t="shared" si="8"/>
        <v>8.3404514545471958E-2</v>
      </c>
      <c r="M39" s="4">
        <f t="shared" si="28"/>
        <v>1.4827852922416001</v>
      </c>
      <c r="N39" s="4">
        <f t="shared" si="3"/>
        <v>5.6077659963281494</v>
      </c>
      <c r="O39" s="4">
        <f t="shared" si="23"/>
        <v>18.994832565825718</v>
      </c>
      <c r="P39" s="4">
        <f t="shared" si="10"/>
        <v>0.61602498823791674</v>
      </c>
      <c r="Q39" s="4">
        <f t="shared" si="11"/>
        <v>1.0684316855006155</v>
      </c>
      <c r="R39" s="131"/>
    </row>
    <row r="40" spans="1:21">
      <c r="A40">
        <v>-0.05</v>
      </c>
      <c r="B40" s="11">
        <v>40.549999999999997</v>
      </c>
      <c r="C40" s="129">
        <v>45054</v>
      </c>
      <c r="D40" s="64">
        <v>0.41319444444444442</v>
      </c>
      <c r="E40">
        <v>3</v>
      </c>
      <c r="F40">
        <v>3</v>
      </c>
      <c r="G40" s="11">
        <f t="shared" ref="G40:G46" si="29">B40+$A$40</f>
        <v>40.5</v>
      </c>
      <c r="H40" s="11">
        <v>5.22</v>
      </c>
      <c r="I40">
        <f t="shared" si="0"/>
        <v>2.5999999999999999E-2</v>
      </c>
      <c r="J40">
        <f t="shared" si="1"/>
        <v>8.6666666666666663E-3</v>
      </c>
      <c r="K40" s="18">
        <f t="shared" si="2"/>
        <v>3.1352952387243702</v>
      </c>
      <c r="L40">
        <v>8.3404514545471958E-2</v>
      </c>
      <c r="M40">
        <f>2.9655705844832/2</f>
        <v>1.4827852922416001</v>
      </c>
      <c r="N40">
        <f t="shared" si="3"/>
        <v>1.9939421866470557</v>
      </c>
      <c r="O40">
        <f t="shared" ref="O40:O119" si="30">SQRT(2*32.17*N40)</f>
        <v>11.326528165721019</v>
      </c>
      <c r="P40">
        <f t="shared" si="10"/>
        <v>2.597781041559093E-2</v>
      </c>
      <c r="Q40">
        <f t="shared" si="11"/>
        <v>0.63710072394867867</v>
      </c>
      <c r="R40" s="141">
        <f>(M40/L40)*F40/12/0.0000106</f>
        <v>419298.06105455966</v>
      </c>
      <c r="S40">
        <v>0.28999999999999998</v>
      </c>
      <c r="T40">
        <f>S40*L40*12</f>
        <v>0.29024771061824239</v>
      </c>
      <c r="U40" s="75">
        <f>O40/O$10-1</f>
        <v>-0.10409959915500844</v>
      </c>
    </row>
    <row r="41" spans="1:21">
      <c r="B41" s="11">
        <v>40.75</v>
      </c>
      <c r="C41" s="129">
        <v>45054</v>
      </c>
      <c r="D41" s="64">
        <v>0.41319444444444442</v>
      </c>
      <c r="E41">
        <v>3</v>
      </c>
      <c r="F41">
        <f t="shared" ref="F41:F46" si="31">F40</f>
        <v>3</v>
      </c>
      <c r="G41" s="11">
        <f t="shared" si="29"/>
        <v>40.700000000000003</v>
      </c>
      <c r="H41" s="11">
        <f>offset+0.175</f>
        <v>6.125</v>
      </c>
      <c r="I41">
        <f t="shared" si="0"/>
        <v>0.10474015748031608</v>
      </c>
      <c r="J41">
        <f t="shared" si="1"/>
        <v>3.4913385826772024E-2</v>
      </c>
      <c r="K41" s="18">
        <f t="shared" si="2"/>
        <v>3.1352952387243702</v>
      </c>
      <c r="L41">
        <f t="shared" si="8"/>
        <v>8.3404514545471958E-2</v>
      </c>
      <c r="M41">
        <f>M40</f>
        <v>1.4827852922416001</v>
      </c>
      <c r="N41">
        <f t="shared" si="3"/>
        <v>2.8989421866470559</v>
      </c>
      <c r="O41">
        <f t="shared" si="30"/>
        <v>13.657157108595902</v>
      </c>
      <c r="P41">
        <f t="shared" si="10"/>
        <v>0.10465076745856881</v>
      </c>
      <c r="Q41">
        <f t="shared" si="11"/>
        <v>0.76819520983492906</v>
      </c>
    </row>
    <row r="42" spans="1:21">
      <c r="B42" s="11">
        <v>40.9</v>
      </c>
      <c r="C42" s="129">
        <v>45054</v>
      </c>
      <c r="D42" s="64">
        <v>0.41319444444444442</v>
      </c>
      <c r="E42">
        <v>3</v>
      </c>
      <c r="F42">
        <f t="shared" si="31"/>
        <v>3</v>
      </c>
      <c r="G42" s="11">
        <f t="shared" si="29"/>
        <v>40.85</v>
      </c>
      <c r="H42" s="11">
        <f>offset+0.835</f>
        <v>6.7850000000000001</v>
      </c>
      <c r="I42">
        <f t="shared" si="0"/>
        <v>0.16379527559055174</v>
      </c>
      <c r="J42">
        <f t="shared" si="1"/>
        <v>5.4598425196850577E-2</v>
      </c>
      <c r="K42" s="18">
        <f t="shared" ref="K42:K73" si="32">$H$4-F42*SIN(theta)/12</f>
        <v>3.1352952387243702</v>
      </c>
      <c r="L42">
        <f t="shared" si="8"/>
        <v>8.3404514545471958E-2</v>
      </c>
      <c r="M42">
        <f t="shared" ref="M42" si="33">M41</f>
        <v>1.4827852922416001</v>
      </c>
      <c r="N42">
        <f t="shared" ref="N42:N73" si="34">H42-$H$7-(K42+L42*COS(theta))</f>
        <v>3.5589421866470561</v>
      </c>
      <c r="O42">
        <f t="shared" si="30"/>
        <v>15.132162445892245</v>
      </c>
      <c r="P42">
        <f t="shared" si="10"/>
        <v>0.16365548524080084</v>
      </c>
      <c r="Q42">
        <f t="shared" si="11"/>
        <v>0.8511621132381878</v>
      </c>
    </row>
    <row r="43" spans="1:21">
      <c r="B43" s="11">
        <v>41.2</v>
      </c>
      <c r="C43" s="129">
        <v>45054</v>
      </c>
      <c r="D43" s="64">
        <v>0.41319444444444442</v>
      </c>
      <c r="E43">
        <v>3</v>
      </c>
      <c r="F43">
        <f t="shared" si="31"/>
        <v>3</v>
      </c>
      <c r="G43" s="11">
        <f t="shared" si="29"/>
        <v>41.150000000000006</v>
      </c>
      <c r="H43" s="11">
        <f>offset+1.78</f>
        <v>7.73</v>
      </c>
      <c r="I43">
        <f t="shared" si="0"/>
        <v>0.28190551181102586</v>
      </c>
      <c r="J43">
        <f t="shared" si="1"/>
        <v>9.3968503937008618E-2</v>
      </c>
      <c r="K43" s="18">
        <f t="shared" si="32"/>
        <v>3.1352952387243702</v>
      </c>
      <c r="L43">
        <f t="shared" si="8"/>
        <v>8.3404514545471958E-2</v>
      </c>
      <c r="M43">
        <f t="shared" ref="M43" si="35">M42</f>
        <v>1.4827852922416001</v>
      </c>
      <c r="N43">
        <f t="shared" si="34"/>
        <v>4.5039421866470564</v>
      </c>
      <c r="O43">
        <f t="shared" si="30"/>
        <v>17.023032640774428</v>
      </c>
      <c r="P43">
        <f t="shared" si="10"/>
        <v>0.28166492080526767</v>
      </c>
      <c r="Q43">
        <f t="shared" si="11"/>
        <v>0.95752080960361829</v>
      </c>
    </row>
    <row r="44" spans="1:21">
      <c r="B44" s="11">
        <v>41.4</v>
      </c>
      <c r="C44" s="129">
        <v>45054</v>
      </c>
      <c r="D44" s="64">
        <v>0.41319444444444442</v>
      </c>
      <c r="E44">
        <v>3</v>
      </c>
      <c r="F44">
        <f t="shared" si="31"/>
        <v>3</v>
      </c>
      <c r="G44" s="11">
        <f t="shared" si="29"/>
        <v>41.35</v>
      </c>
      <c r="H44" s="11">
        <f>offset+2.22</f>
        <v>8.17</v>
      </c>
      <c r="I44">
        <f t="shared" si="0"/>
        <v>0.36064566929133918</v>
      </c>
      <c r="J44">
        <f t="shared" si="1"/>
        <v>0.12021522309711306</v>
      </c>
      <c r="K44" s="18">
        <f t="shared" si="32"/>
        <v>3.1352952387243702</v>
      </c>
      <c r="L44">
        <f t="shared" si="8"/>
        <v>8.3404514545471958E-2</v>
      </c>
      <c r="M44">
        <f t="shared" ref="M44" si="36">M43</f>
        <v>1.4827852922416001</v>
      </c>
      <c r="N44">
        <f t="shared" si="34"/>
        <v>4.9439421866470568</v>
      </c>
      <c r="O44">
        <f t="shared" si="30"/>
        <v>17.835168636401274</v>
      </c>
      <c r="P44">
        <f t="shared" si="10"/>
        <v>0.36033787784824284</v>
      </c>
      <c r="Q44">
        <f t="shared" si="11"/>
        <v>1.0032022773215514</v>
      </c>
    </row>
    <row r="45" spans="1:21">
      <c r="B45" s="11">
        <v>41.6</v>
      </c>
      <c r="C45" s="129">
        <v>45054</v>
      </c>
      <c r="D45" s="64">
        <v>0.41319444444444442</v>
      </c>
      <c r="E45">
        <v>3</v>
      </c>
      <c r="F45">
        <f t="shared" si="31"/>
        <v>3</v>
      </c>
      <c r="G45" s="11">
        <f t="shared" si="29"/>
        <v>41.550000000000004</v>
      </c>
      <c r="H45" s="11">
        <f>offset+2.44</f>
        <v>8.39</v>
      </c>
      <c r="I45">
        <f t="shared" si="0"/>
        <v>0.43938582677165522</v>
      </c>
      <c r="J45">
        <f t="shared" si="1"/>
        <v>0.1464619422572184</v>
      </c>
      <c r="K45" s="18">
        <f t="shared" si="32"/>
        <v>3.1352952387243702</v>
      </c>
      <c r="L45">
        <f t="shared" si="8"/>
        <v>8.3404514545471958E-2</v>
      </c>
      <c r="M45">
        <f t="shared" ref="M45:M127" si="37">M44</f>
        <v>1.4827852922416001</v>
      </c>
      <c r="N45">
        <f t="shared" si="34"/>
        <v>5.1639421866470574</v>
      </c>
      <c r="O45">
        <f t="shared" si="30"/>
        <v>18.227672377154239</v>
      </c>
      <c r="P45">
        <f t="shared" si="10"/>
        <v>0.43901083489122061</v>
      </c>
      <c r="Q45">
        <f t="shared" si="11"/>
        <v>1.025280041463178</v>
      </c>
    </row>
    <row r="46" spans="1:21">
      <c r="B46" s="11">
        <v>42</v>
      </c>
      <c r="C46" s="130">
        <v>45054</v>
      </c>
      <c r="D46" s="81">
        <v>0.41319444444444442</v>
      </c>
      <c r="E46" s="4">
        <v>3</v>
      </c>
      <c r="F46" s="4">
        <f t="shared" si="31"/>
        <v>3</v>
      </c>
      <c r="G46" s="93">
        <f t="shared" si="29"/>
        <v>41.95</v>
      </c>
      <c r="H46" s="93">
        <f>offset+2.9</f>
        <v>8.85</v>
      </c>
      <c r="I46" s="4">
        <f t="shared" si="0"/>
        <v>0.59686614173228458</v>
      </c>
      <c r="J46" s="4">
        <f t="shared" si="1"/>
        <v>0.1989553805774282</v>
      </c>
      <c r="K46" s="88">
        <f t="shared" si="32"/>
        <v>3.1352952387243702</v>
      </c>
      <c r="L46" s="4">
        <f t="shared" si="8"/>
        <v>8.3404514545471958E-2</v>
      </c>
      <c r="M46" s="4">
        <f t="shared" si="37"/>
        <v>1.4827852922416001</v>
      </c>
      <c r="N46" s="4">
        <f t="shared" si="34"/>
        <v>5.6239421866470565</v>
      </c>
      <c r="O46" s="4">
        <f t="shared" si="30"/>
        <v>19.022209132718302</v>
      </c>
      <c r="P46" s="4">
        <f t="shared" si="10"/>
        <v>0.59635674897717372</v>
      </c>
      <c r="Q46" s="4">
        <f t="shared" si="11"/>
        <v>1.0699715775426695</v>
      </c>
      <c r="R46" s="131"/>
    </row>
    <row r="47" spans="1:21">
      <c r="C47" s="133">
        <v>45055</v>
      </c>
      <c r="D47" s="102">
        <v>0.45833333333333331</v>
      </c>
      <c r="E47" s="13">
        <v>3</v>
      </c>
      <c r="F47" s="13">
        <v>0</v>
      </c>
      <c r="G47" s="112">
        <v>40.5</v>
      </c>
      <c r="H47" s="112">
        <v>5.9050000000000002</v>
      </c>
      <c r="I47" s="3">
        <f t="shared" ref="I47:I74" si="38">(G47-$G$47)/2.54+$H$3/2</f>
        <v>2.5999999999999999E-2</v>
      </c>
      <c r="J47" s="3">
        <f t="shared" si="1"/>
        <v>8.6666666666666663E-3</v>
      </c>
      <c r="K47" s="108">
        <f t="shared" si="32"/>
        <v>3.2</v>
      </c>
      <c r="L47" s="20">
        <v>8.2563837379509106E-2</v>
      </c>
      <c r="M47" s="20">
        <f>2.96645385873436/2</f>
        <v>1.48322692936718</v>
      </c>
      <c r="N47" s="13">
        <f t="shared" si="34"/>
        <v>2.6150494571576011</v>
      </c>
      <c r="O47" s="13">
        <f t="shared" si="30"/>
        <v>12.971209738244157</v>
      </c>
      <c r="P47" s="13">
        <f t="shared" ref="P47:P51" si="39">I47/12/L47</f>
        <v>2.6242320311584685E-2</v>
      </c>
      <c r="Q47" s="13">
        <f t="shared" ref="Q47:Q51" si="40">O47/(M47/L47)</f>
        <v>0.72204248064779841</v>
      </c>
      <c r="R47" s="13"/>
    </row>
    <row r="48" spans="1:21">
      <c r="C48" s="133">
        <v>45055</v>
      </c>
      <c r="D48" s="102">
        <v>0.45833333333333331</v>
      </c>
      <c r="E48" s="13">
        <v>3</v>
      </c>
      <c r="F48" s="13">
        <v>0</v>
      </c>
      <c r="G48" s="112">
        <v>40.549999999999997</v>
      </c>
      <c r="H48" s="112">
        <f>offset+0.4</f>
        <v>6.3500000000000005</v>
      </c>
      <c r="I48" s="13">
        <f t="shared" si="38"/>
        <v>4.5685039370077618E-2</v>
      </c>
      <c r="J48" s="13">
        <f t="shared" si="1"/>
        <v>1.522834645669254E-2</v>
      </c>
      <c r="K48" s="108">
        <f t="shared" si="32"/>
        <v>3.2</v>
      </c>
      <c r="L48" s="13">
        <f t="shared" ref="L48" si="41">L47</f>
        <v>8.2563837379509106E-2</v>
      </c>
      <c r="M48" s="13">
        <f t="shared" si="37"/>
        <v>1.48322692936718</v>
      </c>
      <c r="N48" s="13">
        <f t="shared" si="34"/>
        <v>3.0600494571576013</v>
      </c>
      <c r="O48" s="13">
        <f t="shared" si="30"/>
        <v>14.031521017819845</v>
      </c>
      <c r="P48" s="13">
        <f t="shared" si="39"/>
        <v>4.6110824484497458E-2</v>
      </c>
      <c r="Q48" s="13">
        <f t="shared" si="40"/>
        <v>0.78106471542875444</v>
      </c>
      <c r="R48" s="13"/>
    </row>
    <row r="49" spans="2:21">
      <c r="C49" s="133">
        <v>45055</v>
      </c>
      <c r="D49" s="102">
        <v>0.45833333333333331</v>
      </c>
      <c r="E49" s="13">
        <v>3</v>
      </c>
      <c r="F49" s="13">
        <v>0</v>
      </c>
      <c r="G49" s="112">
        <v>40.700000000000003</v>
      </c>
      <c r="H49" s="112">
        <f>offset+1.045</f>
        <v>6.9950000000000001</v>
      </c>
      <c r="I49" s="13">
        <f t="shared" si="38"/>
        <v>0.10474015748031608</v>
      </c>
      <c r="J49" s="13">
        <f t="shared" si="1"/>
        <v>3.4913385826772024E-2</v>
      </c>
      <c r="K49" s="108">
        <f t="shared" si="32"/>
        <v>3.2</v>
      </c>
      <c r="L49" s="13">
        <f t="shared" ref="L49" si="42">L48</f>
        <v>8.2563837379509106E-2</v>
      </c>
      <c r="M49" s="13">
        <f t="shared" si="37"/>
        <v>1.48322692936718</v>
      </c>
      <c r="N49" s="13">
        <f t="shared" si="34"/>
        <v>3.7050494571576009</v>
      </c>
      <c r="O49" s="13">
        <f t="shared" si="30"/>
        <v>15.439652912987391</v>
      </c>
      <c r="P49" s="13">
        <f t="shared" si="39"/>
        <v>0.10571633700324143</v>
      </c>
      <c r="Q49" s="13">
        <f t="shared" si="40"/>
        <v>0.85944838720520744</v>
      </c>
      <c r="R49" s="13"/>
    </row>
    <row r="50" spans="2:21">
      <c r="C50" s="133">
        <v>45055</v>
      </c>
      <c r="D50" s="102">
        <v>0.45833333333333331</v>
      </c>
      <c r="E50" s="13">
        <v>3</v>
      </c>
      <c r="F50" s="13">
        <v>0</v>
      </c>
      <c r="G50" s="112">
        <v>41</v>
      </c>
      <c r="H50" s="112">
        <f>offset+1.73</f>
        <v>7.68</v>
      </c>
      <c r="I50" s="13">
        <f t="shared" si="38"/>
        <v>0.22285039370078738</v>
      </c>
      <c r="J50" s="13">
        <f t="shared" si="1"/>
        <v>7.4283464566929122E-2</v>
      </c>
      <c r="K50" s="108">
        <f t="shared" si="32"/>
        <v>3.2</v>
      </c>
      <c r="L50" s="13">
        <f t="shared" ref="L50" si="43">L49</f>
        <v>8.2563837379509106E-2</v>
      </c>
      <c r="M50" s="13">
        <f t="shared" si="37"/>
        <v>1.48322692936718</v>
      </c>
      <c r="N50" s="13">
        <f t="shared" si="34"/>
        <v>4.3900494571576001</v>
      </c>
      <c r="O50" s="13">
        <f t="shared" si="30"/>
        <v>16.806420858514759</v>
      </c>
      <c r="P50" s="13">
        <f t="shared" si="39"/>
        <v>0.22492736204072369</v>
      </c>
      <c r="Q50" s="13">
        <f t="shared" si="40"/>
        <v>0.93552953443612585</v>
      </c>
      <c r="R50" s="13"/>
    </row>
    <row r="51" spans="2:21">
      <c r="C51" s="134">
        <v>45055</v>
      </c>
      <c r="D51" s="135">
        <v>0.45833333333333331</v>
      </c>
      <c r="E51" s="136">
        <v>3</v>
      </c>
      <c r="F51" s="136">
        <v>0</v>
      </c>
      <c r="G51" s="137">
        <v>42</v>
      </c>
      <c r="H51" s="137">
        <f>offset+2.935</f>
        <v>8.8849999999999998</v>
      </c>
      <c r="I51" s="136">
        <f t="shared" si="38"/>
        <v>0.61655118110236218</v>
      </c>
      <c r="J51" s="136">
        <f t="shared" si="1"/>
        <v>0.20551706036745407</v>
      </c>
      <c r="K51" s="138">
        <f t="shared" si="32"/>
        <v>3.2</v>
      </c>
      <c r="L51" s="136">
        <f t="shared" ref="L51" si="44">L50</f>
        <v>8.2563837379509106E-2</v>
      </c>
      <c r="M51" s="136">
        <f t="shared" si="37"/>
        <v>1.48322692936718</v>
      </c>
      <c r="N51" s="136">
        <f t="shared" si="34"/>
        <v>5.5950494571576019</v>
      </c>
      <c r="O51" s="136">
        <f t="shared" si="30"/>
        <v>18.973283376198232</v>
      </c>
      <c r="P51" s="136">
        <f t="shared" si="39"/>
        <v>0.62229744549900179</v>
      </c>
      <c r="Q51" s="136">
        <f t="shared" si="40"/>
        <v>1.0561479516125869</v>
      </c>
      <c r="R51" s="140"/>
    </row>
    <row r="52" spans="2:21">
      <c r="B52" s="146"/>
      <c r="C52" s="129">
        <v>45055</v>
      </c>
      <c r="D52" s="64">
        <v>0.45833333333333331</v>
      </c>
      <c r="E52">
        <v>3</v>
      </c>
      <c r="F52">
        <v>0.75</v>
      </c>
      <c r="G52" s="11">
        <v>40.5</v>
      </c>
      <c r="H52" s="11">
        <v>5.64</v>
      </c>
      <c r="I52" s="3">
        <f t="shared" si="38"/>
        <v>2.5999999999999999E-2</v>
      </c>
      <c r="J52" s="3">
        <f t="shared" si="1"/>
        <v>8.6666666666666663E-3</v>
      </c>
      <c r="K52">
        <f t="shared" si="32"/>
        <v>3.1838238096810927</v>
      </c>
      <c r="L52">
        <f t="shared" ref="L52" si="45">L51</f>
        <v>8.2563837379509106E-2</v>
      </c>
      <c r="M52">
        <f t="shared" si="37"/>
        <v>1.48322692936718</v>
      </c>
      <c r="N52">
        <f t="shared" si="34"/>
        <v>2.366225647476508</v>
      </c>
      <c r="O52">
        <f t="shared" si="30"/>
        <v>12.338677326141507</v>
      </c>
      <c r="P52">
        <f t="shared" ref="P52:P110" si="46">I52/12/L52</f>
        <v>2.6242320311584685E-2</v>
      </c>
      <c r="Q52">
        <f t="shared" ref="Q52:Q110" si="47">O52/(M52/L52)</f>
        <v>0.68683255951159472</v>
      </c>
      <c r="R52" s="141">
        <f>(M52/L52)*F52/12/0.0000106</f>
        <v>105923.39307480515</v>
      </c>
      <c r="S52">
        <v>0.06</v>
      </c>
      <c r="T52">
        <f>S52*L52*12</f>
        <v>5.9445962913246553E-2</v>
      </c>
      <c r="U52" s="75">
        <f>O52/O$47-1</f>
        <v>-4.8764334620054695E-2</v>
      </c>
    </row>
    <row r="53" spans="2:21">
      <c r="B53" s="146"/>
      <c r="C53" s="129">
        <v>45055</v>
      </c>
      <c r="D53" s="64">
        <v>0.45833333333333331</v>
      </c>
      <c r="E53">
        <v>3</v>
      </c>
      <c r="F53">
        <v>0.75</v>
      </c>
      <c r="G53" s="11">
        <v>40.520000000000003</v>
      </c>
      <c r="H53" s="11">
        <v>5.88</v>
      </c>
      <c r="I53">
        <f t="shared" si="38"/>
        <v>3.3874015748032726E-2</v>
      </c>
      <c r="J53">
        <f t="shared" si="1"/>
        <v>1.1291338582677576E-2</v>
      </c>
      <c r="K53">
        <f t="shared" si="32"/>
        <v>3.1838238096810927</v>
      </c>
      <c r="L53">
        <f t="shared" ref="L53" si="48">L52</f>
        <v>8.2563837379509106E-2</v>
      </c>
      <c r="M53">
        <f t="shared" si="37"/>
        <v>1.48322692936718</v>
      </c>
      <c r="N53">
        <f t="shared" si="34"/>
        <v>2.6062256474765082</v>
      </c>
      <c r="O53">
        <f t="shared" si="30"/>
        <v>12.949307246283043</v>
      </c>
      <c r="P53">
        <f t="shared" si="46"/>
        <v>3.4189721980751493E-2</v>
      </c>
      <c r="Q53">
        <f t="shared" si="47"/>
        <v>0.72082327827985393</v>
      </c>
    </row>
    <row r="54" spans="2:21">
      <c r="B54" s="146"/>
      <c r="C54" s="129">
        <v>45055</v>
      </c>
      <c r="D54" s="64">
        <v>0.45833333333333331</v>
      </c>
      <c r="E54">
        <v>3</v>
      </c>
      <c r="F54">
        <v>0.75</v>
      </c>
      <c r="G54" s="11">
        <v>40.56</v>
      </c>
      <c r="H54" s="11">
        <f>offset+0.35</f>
        <v>6.3</v>
      </c>
      <c r="I54">
        <f t="shared" si="38"/>
        <v>4.9622047244095385E-2</v>
      </c>
      <c r="J54">
        <f t="shared" si="1"/>
        <v>1.6540682414698461E-2</v>
      </c>
      <c r="K54">
        <f t="shared" si="32"/>
        <v>3.1838238096810927</v>
      </c>
      <c r="L54">
        <f t="shared" ref="L54" si="49">L53</f>
        <v>8.2563837379509106E-2</v>
      </c>
      <c r="M54">
        <f t="shared" si="37"/>
        <v>1.48322692936718</v>
      </c>
      <c r="N54">
        <f t="shared" si="34"/>
        <v>3.0262256474765081</v>
      </c>
      <c r="O54">
        <f t="shared" si="30"/>
        <v>13.953757850795554</v>
      </c>
      <c r="P54">
        <f t="shared" si="46"/>
        <v>5.0084525319082272E-2</v>
      </c>
      <c r="Q54">
        <f t="shared" si="47"/>
        <v>0.77673602819338416</v>
      </c>
    </row>
    <row r="55" spans="2:21">
      <c r="B55" s="146"/>
      <c r="C55" s="129">
        <v>45055</v>
      </c>
      <c r="D55" s="64">
        <v>0.45833333333333331</v>
      </c>
      <c r="E55">
        <v>3</v>
      </c>
      <c r="F55">
        <v>0.75</v>
      </c>
      <c r="G55" s="11">
        <v>40.58</v>
      </c>
      <c r="H55" s="11">
        <f>offset+0.51</f>
        <v>6.46</v>
      </c>
      <c r="I55">
        <f t="shared" si="38"/>
        <v>5.7496062992125313E-2</v>
      </c>
      <c r="J55">
        <f t="shared" si="1"/>
        <v>1.9165354330708439E-2</v>
      </c>
      <c r="K55">
        <f t="shared" si="32"/>
        <v>3.1838238096810927</v>
      </c>
      <c r="L55">
        <f t="shared" ref="L55" si="50">L54</f>
        <v>8.2563837379509106E-2</v>
      </c>
      <c r="M55">
        <f t="shared" si="37"/>
        <v>1.48322692936718</v>
      </c>
      <c r="N55">
        <f t="shared" si="34"/>
        <v>3.1862256474765083</v>
      </c>
      <c r="O55">
        <f t="shared" si="30"/>
        <v>14.317882460707608</v>
      </c>
      <c r="P55">
        <f t="shared" si="46"/>
        <v>5.803192698824626E-2</v>
      </c>
      <c r="Q55">
        <f t="shared" si="47"/>
        <v>0.79700502714655364</v>
      </c>
    </row>
    <row r="56" spans="2:21">
      <c r="B56" s="146"/>
      <c r="C56" s="129">
        <v>45055</v>
      </c>
      <c r="D56" s="64">
        <v>0.45833333333333331</v>
      </c>
      <c r="E56">
        <v>3</v>
      </c>
      <c r="F56">
        <v>0.75</v>
      </c>
      <c r="G56" s="11">
        <v>40.700000000000003</v>
      </c>
      <c r="H56" s="11">
        <f>offset+1.055</f>
        <v>7.0049999999999999</v>
      </c>
      <c r="I56">
        <f t="shared" si="38"/>
        <v>0.10474015748031608</v>
      </c>
      <c r="J56">
        <f t="shared" si="1"/>
        <v>3.4913385826772024E-2</v>
      </c>
      <c r="K56">
        <f t="shared" si="32"/>
        <v>3.1838238096810927</v>
      </c>
      <c r="L56">
        <f t="shared" ref="L56" si="51">L55</f>
        <v>8.2563837379509106E-2</v>
      </c>
      <c r="M56">
        <f t="shared" si="37"/>
        <v>1.48322692936718</v>
      </c>
      <c r="N56">
        <f t="shared" si="34"/>
        <v>3.7312256474765082</v>
      </c>
      <c r="O56">
        <f t="shared" si="30"/>
        <v>15.49409752643369</v>
      </c>
      <c r="P56">
        <f t="shared" si="46"/>
        <v>0.10571633700324143</v>
      </c>
      <c r="Q56">
        <f t="shared" si="47"/>
        <v>0.86247904699284239</v>
      </c>
    </row>
    <row r="57" spans="2:21">
      <c r="B57" s="146"/>
      <c r="C57" s="129">
        <v>45055</v>
      </c>
      <c r="D57" s="64">
        <v>0.45833333333333331</v>
      </c>
      <c r="E57">
        <v>3</v>
      </c>
      <c r="F57">
        <v>0.75</v>
      </c>
      <c r="G57" s="11">
        <v>41</v>
      </c>
      <c r="H57" s="11">
        <f>offset+1.715</f>
        <v>7.665</v>
      </c>
      <c r="I57">
        <f t="shared" si="38"/>
        <v>0.22285039370078738</v>
      </c>
      <c r="J57">
        <f t="shared" si="1"/>
        <v>7.4283464566929122E-2</v>
      </c>
      <c r="K57">
        <f t="shared" si="32"/>
        <v>3.1838238096810927</v>
      </c>
      <c r="L57">
        <f t="shared" ref="L57" si="52">L56</f>
        <v>8.2563837379509106E-2</v>
      </c>
      <c r="M57">
        <f t="shared" si="37"/>
        <v>1.48322692936718</v>
      </c>
      <c r="N57">
        <f t="shared" si="34"/>
        <v>4.3912256474765083</v>
      </c>
      <c r="O57">
        <f t="shared" si="30"/>
        <v>16.808672111699916</v>
      </c>
      <c r="P57">
        <f t="shared" si="46"/>
        <v>0.22492736204072369</v>
      </c>
      <c r="Q57">
        <f t="shared" si="47"/>
        <v>0.93565485046039643</v>
      </c>
    </row>
    <row r="58" spans="2:21">
      <c r="B58" s="146"/>
      <c r="C58" s="130">
        <v>45055</v>
      </c>
      <c r="D58" s="81">
        <v>0.45833333333333331</v>
      </c>
      <c r="E58" s="4">
        <v>3</v>
      </c>
      <c r="F58" s="4">
        <v>0.75</v>
      </c>
      <c r="G58" s="93">
        <v>42</v>
      </c>
      <c r="H58" s="93">
        <f>offset+2.96</f>
        <v>8.91</v>
      </c>
      <c r="I58" s="4">
        <f t="shared" si="38"/>
        <v>0.61655118110236218</v>
      </c>
      <c r="J58" s="4">
        <f t="shared" si="1"/>
        <v>0.20551706036745407</v>
      </c>
      <c r="K58" s="88">
        <f t="shared" si="32"/>
        <v>3.1838238096810927</v>
      </c>
      <c r="L58" s="4">
        <f t="shared" ref="L58" si="53">L57</f>
        <v>8.2563837379509106E-2</v>
      </c>
      <c r="M58" s="4">
        <f t="shared" si="37"/>
        <v>1.48322692936718</v>
      </c>
      <c r="N58" s="4">
        <f t="shared" si="34"/>
        <v>5.6362256474765093</v>
      </c>
      <c r="O58" s="4">
        <f t="shared" si="30"/>
        <v>19.042971358447154</v>
      </c>
      <c r="P58" s="4">
        <f t="shared" si="46"/>
        <v>0.62229744549900179</v>
      </c>
      <c r="Q58" s="4">
        <f t="shared" si="47"/>
        <v>1.0600271336310532</v>
      </c>
      <c r="R58" s="131"/>
    </row>
    <row r="59" spans="2:21">
      <c r="B59" s="146"/>
      <c r="C59" s="129">
        <v>45055</v>
      </c>
      <c r="D59" s="64">
        <v>0.45833333333333331</v>
      </c>
      <c r="E59">
        <v>3</v>
      </c>
      <c r="F59">
        <v>1</v>
      </c>
      <c r="G59" s="11">
        <v>40.5</v>
      </c>
      <c r="H59" s="11">
        <v>5.3650000000000002</v>
      </c>
      <c r="I59">
        <f t="shared" si="38"/>
        <v>2.5999999999999999E-2</v>
      </c>
      <c r="J59">
        <f t="shared" si="1"/>
        <v>8.6666666666666663E-3</v>
      </c>
      <c r="K59">
        <f t="shared" si="32"/>
        <v>3.1784317462414569</v>
      </c>
      <c r="L59">
        <f t="shared" ref="L59" si="54">L58</f>
        <v>8.2563837379509106E-2</v>
      </c>
      <c r="M59">
        <f t="shared" si="37"/>
        <v>1.48322692936718</v>
      </c>
      <c r="N59">
        <f t="shared" si="34"/>
        <v>2.0966177109161444</v>
      </c>
      <c r="O59">
        <f t="shared" si="30"/>
        <v>11.614490239366717</v>
      </c>
      <c r="P59">
        <f t="shared" si="46"/>
        <v>2.6242320311584685E-2</v>
      </c>
      <c r="Q59">
        <f t="shared" si="47"/>
        <v>0.64652068026980913</v>
      </c>
      <c r="R59" s="141">
        <f>(M59/L59)*F59/12/0.0000106</f>
        <v>141231.19076640686</v>
      </c>
      <c r="S59">
        <v>0.14000000000000001</v>
      </c>
      <c r="T59">
        <f>S59*L59*12</f>
        <v>0.13870724679757532</v>
      </c>
      <c r="U59" s="75">
        <f>O59/O$47-1</f>
        <v>-0.10459467746306694</v>
      </c>
    </row>
    <row r="60" spans="2:21">
      <c r="B60" s="146"/>
      <c r="C60" s="129">
        <v>45055</v>
      </c>
      <c r="D60" s="64">
        <v>0.45833333333333331</v>
      </c>
      <c r="E60">
        <v>3</v>
      </c>
      <c r="F60">
        <v>1</v>
      </c>
      <c r="G60" s="11">
        <v>40.520000000000003</v>
      </c>
      <c r="H60" s="132">
        <v>5.55</v>
      </c>
      <c r="I60">
        <f t="shared" si="38"/>
        <v>3.3874015748032726E-2</v>
      </c>
      <c r="J60">
        <f t="shared" si="1"/>
        <v>1.1291338582677576E-2</v>
      </c>
      <c r="K60">
        <f t="shared" si="32"/>
        <v>3.1784317462414569</v>
      </c>
      <c r="L60">
        <f t="shared" ref="L60" si="55">L59</f>
        <v>8.2563837379509106E-2</v>
      </c>
      <c r="M60">
        <f t="shared" si="37"/>
        <v>1.48322692936718</v>
      </c>
      <c r="N60">
        <f t="shared" si="34"/>
        <v>2.281617710916144</v>
      </c>
      <c r="O60">
        <f t="shared" si="30"/>
        <v>12.116075417409084</v>
      </c>
      <c r="P60">
        <f t="shared" si="46"/>
        <v>3.4189721980751493E-2</v>
      </c>
      <c r="Q60">
        <f t="shared" si="47"/>
        <v>0.67444142270773866</v>
      </c>
    </row>
    <row r="61" spans="2:21">
      <c r="B61" s="146"/>
      <c r="C61" s="129">
        <v>45055</v>
      </c>
      <c r="D61" s="64">
        <v>0.45833333333333331</v>
      </c>
      <c r="E61">
        <v>3</v>
      </c>
      <c r="F61">
        <v>1</v>
      </c>
      <c r="G61" s="11">
        <v>40.6</v>
      </c>
      <c r="H61" s="11">
        <f>offset+0.315</f>
        <v>6.2650000000000006</v>
      </c>
      <c r="I61">
        <f t="shared" si="38"/>
        <v>6.5370078740158044E-2</v>
      </c>
      <c r="J61">
        <f t="shared" si="1"/>
        <v>2.1790026246719347E-2</v>
      </c>
      <c r="K61">
        <f t="shared" si="32"/>
        <v>3.1784317462414569</v>
      </c>
      <c r="L61">
        <f t="shared" ref="L61" si="56">L60</f>
        <v>8.2563837379509106E-2</v>
      </c>
      <c r="M61">
        <f t="shared" si="37"/>
        <v>1.48322692936718</v>
      </c>
      <c r="N61">
        <f t="shared" si="34"/>
        <v>2.9966177109161447</v>
      </c>
      <c r="O61">
        <f t="shared" si="30"/>
        <v>13.885329795159521</v>
      </c>
      <c r="P61">
        <f t="shared" si="46"/>
        <v>6.5979328657413058E-2</v>
      </c>
      <c r="Q61">
        <f t="shared" si="47"/>
        <v>0.77292697999862148</v>
      </c>
    </row>
    <row r="62" spans="2:21">
      <c r="B62" s="146"/>
      <c r="C62" s="129">
        <v>45055</v>
      </c>
      <c r="D62" s="64">
        <v>0.45833333333333331</v>
      </c>
      <c r="E62">
        <v>3</v>
      </c>
      <c r="F62">
        <v>1</v>
      </c>
      <c r="G62" s="11">
        <v>40.67</v>
      </c>
      <c r="H62" s="11">
        <f>offset+0.805</f>
        <v>6.7549999999999999</v>
      </c>
      <c r="I62">
        <f t="shared" si="38"/>
        <v>9.2929133858268384E-2</v>
      </c>
      <c r="J62">
        <f t="shared" si="1"/>
        <v>3.0976377952756127E-2</v>
      </c>
      <c r="K62">
        <f t="shared" si="32"/>
        <v>3.1784317462414569</v>
      </c>
      <c r="L62">
        <f t="shared" ref="L62" si="57">L61</f>
        <v>8.2563837379509106E-2</v>
      </c>
      <c r="M62">
        <f t="shared" si="37"/>
        <v>1.48322692936718</v>
      </c>
      <c r="N62">
        <f t="shared" si="34"/>
        <v>3.486617710916144</v>
      </c>
      <c r="O62">
        <f t="shared" si="30"/>
        <v>14.977616082686346</v>
      </c>
      <c r="P62">
        <f t="shared" si="46"/>
        <v>9.3795234499492633E-2</v>
      </c>
      <c r="Q62">
        <f t="shared" si="47"/>
        <v>0.83372910382043575</v>
      </c>
    </row>
    <row r="63" spans="2:21">
      <c r="B63" s="146"/>
      <c r="C63" s="129">
        <v>45055</v>
      </c>
      <c r="D63" s="64">
        <v>0.45833333333333331</v>
      </c>
      <c r="E63">
        <v>3</v>
      </c>
      <c r="F63">
        <v>1</v>
      </c>
      <c r="G63" s="11">
        <v>40.700000000000003</v>
      </c>
      <c r="H63" s="11">
        <f>offset+0.95</f>
        <v>6.9</v>
      </c>
      <c r="I63">
        <f t="shared" si="38"/>
        <v>0.10474015748031608</v>
      </c>
      <c r="J63">
        <f t="shared" si="1"/>
        <v>3.4913385826772024E-2</v>
      </c>
      <c r="K63">
        <f t="shared" si="32"/>
        <v>3.1784317462414569</v>
      </c>
      <c r="L63">
        <f t="shared" ref="L63" si="58">L62</f>
        <v>8.2563837379509106E-2</v>
      </c>
      <c r="M63">
        <f t="shared" si="37"/>
        <v>1.48322692936718</v>
      </c>
      <c r="N63">
        <f t="shared" si="34"/>
        <v>3.6316177109161445</v>
      </c>
      <c r="O63">
        <f t="shared" si="30"/>
        <v>15.285885107521407</v>
      </c>
      <c r="P63">
        <f t="shared" si="46"/>
        <v>0.10571633700324143</v>
      </c>
      <c r="Q63">
        <f t="shared" si="47"/>
        <v>0.8508889012402957</v>
      </c>
    </row>
    <row r="64" spans="2:21">
      <c r="B64" s="146"/>
      <c r="C64" s="129">
        <v>45055</v>
      </c>
      <c r="D64" s="64">
        <v>0.45833333333333331</v>
      </c>
      <c r="E64">
        <v>3</v>
      </c>
      <c r="F64">
        <v>1</v>
      </c>
      <c r="G64" s="11">
        <v>40.75</v>
      </c>
      <c r="H64" s="11">
        <f>offset+1.165</f>
        <v>7.1150000000000002</v>
      </c>
      <c r="I64">
        <f t="shared" si="38"/>
        <v>0.12442519685039369</v>
      </c>
      <c r="J64">
        <f t="shared" si="1"/>
        <v>4.1475065616797896E-2</v>
      </c>
      <c r="K64">
        <f t="shared" si="32"/>
        <v>3.1784317462414569</v>
      </c>
      <c r="L64">
        <f t="shared" ref="L64" si="59">L63</f>
        <v>8.2563837379509106E-2</v>
      </c>
      <c r="M64">
        <f t="shared" si="37"/>
        <v>1.48322692936718</v>
      </c>
      <c r="N64">
        <f t="shared" si="34"/>
        <v>3.8466177109161444</v>
      </c>
      <c r="O64">
        <f t="shared" si="30"/>
        <v>15.731858870468701</v>
      </c>
      <c r="P64">
        <f t="shared" si="46"/>
        <v>0.1255848411761542</v>
      </c>
      <c r="Q64">
        <f t="shared" si="47"/>
        <v>0.87571403386866431</v>
      </c>
    </row>
    <row r="65" spans="2:33">
      <c r="B65" s="146"/>
      <c r="C65" s="130">
        <v>45055</v>
      </c>
      <c r="D65" s="81">
        <v>0.45833333333333331</v>
      </c>
      <c r="E65" s="4">
        <v>3</v>
      </c>
      <c r="F65" s="4">
        <v>1</v>
      </c>
      <c r="G65" s="93">
        <v>42</v>
      </c>
      <c r="H65" s="93">
        <f>offset+2.96</f>
        <v>8.91</v>
      </c>
      <c r="I65" s="4">
        <f t="shared" si="38"/>
        <v>0.61655118110236218</v>
      </c>
      <c r="J65" s="4">
        <f t="shared" si="1"/>
        <v>0.20551706036745407</v>
      </c>
      <c r="K65" s="88">
        <f t="shared" si="32"/>
        <v>3.1784317462414569</v>
      </c>
      <c r="L65" s="4">
        <f t="shared" ref="L65" si="60">L64</f>
        <v>8.2563837379509106E-2</v>
      </c>
      <c r="M65" s="4">
        <f t="shared" si="37"/>
        <v>1.48322692936718</v>
      </c>
      <c r="N65" s="4">
        <f t="shared" si="34"/>
        <v>5.6416177109161456</v>
      </c>
      <c r="O65" s="4">
        <f t="shared" si="30"/>
        <v>19.052078194263871</v>
      </c>
      <c r="P65" s="4">
        <f t="shared" si="46"/>
        <v>0.62229744549900179</v>
      </c>
      <c r="Q65" s="4">
        <f t="shared" si="47"/>
        <v>1.060534065710377</v>
      </c>
      <c r="R65" s="131"/>
    </row>
    <row r="66" spans="2:33">
      <c r="B66" s="146"/>
      <c r="C66" s="129">
        <v>45055</v>
      </c>
      <c r="D66" s="64">
        <v>0.45833333333333331</v>
      </c>
      <c r="E66">
        <v>3</v>
      </c>
      <c r="F66">
        <v>2.5</v>
      </c>
      <c r="G66" s="11">
        <v>40.5</v>
      </c>
      <c r="H66" s="11">
        <v>5.26</v>
      </c>
      <c r="I66">
        <f t="shared" si="38"/>
        <v>2.5999999999999999E-2</v>
      </c>
      <c r="J66">
        <f t="shared" si="1"/>
        <v>8.6666666666666663E-3</v>
      </c>
      <c r="K66">
        <f t="shared" si="32"/>
        <v>3.1460793656036419</v>
      </c>
      <c r="L66">
        <f t="shared" ref="L66" si="61">L65</f>
        <v>8.2563837379509106E-2</v>
      </c>
      <c r="M66">
        <f t="shared" si="37"/>
        <v>1.48322692936718</v>
      </c>
      <c r="N66">
        <f t="shared" si="34"/>
        <v>2.0239700915539589</v>
      </c>
      <c r="O66">
        <f t="shared" si="30"/>
        <v>11.411495769204917</v>
      </c>
      <c r="P66">
        <f t="shared" si="46"/>
        <v>2.6242320311584685E-2</v>
      </c>
      <c r="Q66">
        <f t="shared" si="47"/>
        <v>0.63522099167089119</v>
      </c>
      <c r="R66" s="141">
        <f>(M66/L66)*F66/12/0.0000106</f>
        <v>353077.97691601713</v>
      </c>
      <c r="S66">
        <v>0.28000000000000003</v>
      </c>
      <c r="T66">
        <f>S66*L66*12</f>
        <v>0.27741449359515064</v>
      </c>
      <c r="U66" s="75">
        <f>O66/O$47-1</f>
        <v>-0.12024429490493849</v>
      </c>
    </row>
    <row r="67" spans="2:33">
      <c r="B67" s="146"/>
      <c r="C67" s="129">
        <v>45055</v>
      </c>
      <c r="D67" s="64">
        <v>0.45833333333333331</v>
      </c>
      <c r="E67">
        <v>3</v>
      </c>
      <c r="F67">
        <v>2.5</v>
      </c>
      <c r="G67" s="11">
        <v>40.6</v>
      </c>
      <c r="H67" s="11">
        <v>5.74</v>
      </c>
      <c r="I67">
        <f t="shared" si="38"/>
        <v>6.5370078740158044E-2</v>
      </c>
      <c r="J67">
        <f t="shared" si="1"/>
        <v>2.1790026246719347E-2</v>
      </c>
      <c r="K67">
        <f t="shared" si="32"/>
        <v>3.1460793656036419</v>
      </c>
      <c r="L67">
        <f t="shared" ref="L67" si="62">L66</f>
        <v>8.2563837379509106E-2</v>
      </c>
      <c r="M67">
        <f t="shared" si="37"/>
        <v>1.48322692936718</v>
      </c>
      <c r="N67">
        <f t="shared" si="34"/>
        <v>2.5039700915539593</v>
      </c>
      <c r="O67">
        <f t="shared" si="30"/>
        <v>12.692731608703532</v>
      </c>
      <c r="P67">
        <f t="shared" si="46"/>
        <v>6.5979328657413058E-2</v>
      </c>
      <c r="Q67">
        <f t="shared" si="47"/>
        <v>0.7065409936225111</v>
      </c>
    </row>
    <row r="68" spans="2:33">
      <c r="B68" s="146"/>
      <c r="C68" s="129">
        <v>45055</v>
      </c>
      <c r="D68" s="64">
        <v>0.45833333333333331</v>
      </c>
      <c r="E68">
        <v>3</v>
      </c>
      <c r="F68">
        <v>2.5</v>
      </c>
      <c r="G68" s="11">
        <v>40.67</v>
      </c>
      <c r="H68" s="11">
        <f>offset+0.155</f>
        <v>6.1050000000000004</v>
      </c>
      <c r="I68">
        <f t="shared" si="38"/>
        <v>9.2929133858268384E-2</v>
      </c>
      <c r="J68">
        <f t="shared" si="1"/>
        <v>3.0976377952756127E-2</v>
      </c>
      <c r="K68">
        <f t="shared" si="32"/>
        <v>3.1460793656036419</v>
      </c>
      <c r="L68">
        <f t="shared" ref="L68" si="63">L67</f>
        <v>8.2563837379509106E-2</v>
      </c>
      <c r="M68">
        <f t="shared" si="37"/>
        <v>1.48322692936718</v>
      </c>
      <c r="N68">
        <f t="shared" si="34"/>
        <v>2.8689700915539595</v>
      </c>
      <c r="O68">
        <f t="shared" si="30"/>
        <v>13.586373161759608</v>
      </c>
      <c r="P68">
        <f t="shared" si="46"/>
        <v>9.3795234499492633E-2</v>
      </c>
      <c r="Q68">
        <f t="shared" si="47"/>
        <v>0.75628555691302068</v>
      </c>
    </row>
    <row r="69" spans="2:33">
      <c r="B69" s="146"/>
      <c r="C69" s="129">
        <v>45055</v>
      </c>
      <c r="D69" s="64">
        <v>0.45833333333333331</v>
      </c>
      <c r="E69">
        <v>3</v>
      </c>
      <c r="F69">
        <v>2.5</v>
      </c>
      <c r="G69" s="11">
        <v>40.85</v>
      </c>
      <c r="H69" s="11">
        <f>offset+0.955</f>
        <v>6.9050000000000002</v>
      </c>
      <c r="I69">
        <f t="shared" si="38"/>
        <v>0.16379527559055174</v>
      </c>
      <c r="J69">
        <f t="shared" si="1"/>
        <v>5.4598425196850577E-2</v>
      </c>
      <c r="K69">
        <f t="shared" si="32"/>
        <v>3.1460793656036419</v>
      </c>
      <c r="L69">
        <f t="shared" ref="L69" si="64">L68</f>
        <v>8.2563837379509106E-2</v>
      </c>
      <c r="M69">
        <f t="shared" si="37"/>
        <v>1.48322692936718</v>
      </c>
      <c r="N69">
        <f t="shared" si="34"/>
        <v>3.6689700915539594</v>
      </c>
      <c r="O69">
        <f t="shared" si="30"/>
        <v>15.364294181334259</v>
      </c>
      <c r="P69">
        <f t="shared" si="46"/>
        <v>0.16532184952198256</v>
      </c>
      <c r="Q69">
        <f t="shared" si="47"/>
        <v>0.85525354288156108</v>
      </c>
    </row>
    <row r="70" spans="2:33">
      <c r="B70" s="146"/>
      <c r="C70" s="129">
        <v>45055</v>
      </c>
      <c r="D70" s="64">
        <v>0.45833333333333331</v>
      </c>
      <c r="E70">
        <v>3</v>
      </c>
      <c r="F70">
        <v>2.5</v>
      </c>
      <c r="G70" s="11">
        <v>41</v>
      </c>
      <c r="H70" s="11">
        <f>offset+1.48</f>
        <v>7.43</v>
      </c>
      <c r="I70">
        <f t="shared" si="38"/>
        <v>0.22285039370078738</v>
      </c>
      <c r="J70">
        <f t="shared" si="1"/>
        <v>7.4283464566929122E-2</v>
      </c>
      <c r="K70">
        <f t="shared" si="32"/>
        <v>3.1460793656036419</v>
      </c>
      <c r="L70">
        <f t="shared" ref="L70" si="65">L69</f>
        <v>8.2563837379509106E-2</v>
      </c>
      <c r="M70">
        <f t="shared" si="37"/>
        <v>1.48322692936718</v>
      </c>
      <c r="N70">
        <f t="shared" si="34"/>
        <v>4.1939700915539593</v>
      </c>
      <c r="O70">
        <f t="shared" si="30"/>
        <v>16.426808445056569</v>
      </c>
      <c r="P70">
        <f t="shared" si="46"/>
        <v>0.22492736204072369</v>
      </c>
      <c r="Q70">
        <f t="shared" si="47"/>
        <v>0.91439840679042073</v>
      </c>
    </row>
    <row r="71" spans="2:33">
      <c r="B71" s="146"/>
      <c r="C71" s="129">
        <v>45055</v>
      </c>
      <c r="D71" s="64">
        <v>0.45833333333333331</v>
      </c>
      <c r="E71">
        <v>3</v>
      </c>
      <c r="F71">
        <v>2.5</v>
      </c>
      <c r="G71" s="11">
        <v>41.1</v>
      </c>
      <c r="H71" s="11">
        <f>offset+1.72</f>
        <v>7.67</v>
      </c>
      <c r="I71">
        <f t="shared" si="38"/>
        <v>0.26222047244094543</v>
      </c>
      <c r="J71">
        <f t="shared" si="1"/>
        <v>8.740682414698181E-2</v>
      </c>
      <c r="K71">
        <f t="shared" si="32"/>
        <v>3.1460793656036419</v>
      </c>
      <c r="L71">
        <f t="shared" ref="L71" si="66">L70</f>
        <v>8.2563837379509106E-2</v>
      </c>
      <c r="M71">
        <f t="shared" si="37"/>
        <v>1.48322692936718</v>
      </c>
      <c r="N71">
        <f t="shared" si="34"/>
        <v>4.4339700915539595</v>
      </c>
      <c r="O71">
        <f t="shared" si="30"/>
        <v>16.890282285698536</v>
      </c>
      <c r="P71">
        <f t="shared" si="46"/>
        <v>0.26466437038655211</v>
      </c>
      <c r="Q71">
        <f t="shared" si="47"/>
        <v>0.94019768136585358</v>
      </c>
    </row>
    <row r="72" spans="2:33">
      <c r="B72" s="146"/>
      <c r="C72" s="129">
        <v>45055</v>
      </c>
      <c r="D72" s="64">
        <v>0.45833333333333331</v>
      </c>
      <c r="E72">
        <v>3</v>
      </c>
      <c r="F72">
        <v>2.5</v>
      </c>
      <c r="G72" s="11">
        <v>41.2</v>
      </c>
      <c r="H72" s="11">
        <f>offset+1.94</f>
        <v>7.8900000000000006</v>
      </c>
      <c r="I72">
        <f t="shared" si="38"/>
        <v>0.30159055118110351</v>
      </c>
      <c r="J72">
        <f t="shared" si="1"/>
        <v>0.1005301837270345</v>
      </c>
      <c r="K72">
        <f t="shared" si="32"/>
        <v>3.1460793656036419</v>
      </c>
      <c r="L72">
        <f t="shared" ref="L72" si="67">L71</f>
        <v>8.2563837379509106E-2</v>
      </c>
      <c r="M72">
        <f t="shared" si="37"/>
        <v>1.48322692936718</v>
      </c>
      <c r="N72">
        <f t="shared" si="34"/>
        <v>4.6539700915539601</v>
      </c>
      <c r="O72">
        <f t="shared" si="30"/>
        <v>17.304231727834143</v>
      </c>
      <c r="P72">
        <f t="shared" si="46"/>
        <v>0.30440137873238049</v>
      </c>
      <c r="Q72">
        <f t="shared" si="47"/>
        <v>0.96324017995263722</v>
      </c>
    </row>
    <row r="73" spans="2:33">
      <c r="B73" s="146"/>
      <c r="C73" s="129">
        <v>45055</v>
      </c>
      <c r="D73" s="64">
        <v>0.45833333333333331</v>
      </c>
      <c r="E73">
        <v>3</v>
      </c>
      <c r="F73">
        <v>2.5</v>
      </c>
      <c r="G73" s="11">
        <v>41.4</v>
      </c>
      <c r="H73" s="11">
        <f>offset+2.23</f>
        <v>8.18</v>
      </c>
      <c r="I73">
        <f t="shared" si="38"/>
        <v>0.38033070866141677</v>
      </c>
      <c r="J73">
        <f t="shared" si="1"/>
        <v>0.12677690288713891</v>
      </c>
      <c r="K73">
        <f t="shared" si="32"/>
        <v>3.1460793656036419</v>
      </c>
      <c r="L73">
        <f t="shared" ref="L73" si="68">L72</f>
        <v>8.2563837379509106E-2</v>
      </c>
      <c r="M73">
        <f t="shared" si="37"/>
        <v>1.48322692936718</v>
      </c>
      <c r="N73">
        <f t="shared" si="34"/>
        <v>4.9439700915539593</v>
      </c>
      <c r="O73">
        <f t="shared" si="30"/>
        <v>17.835218969515957</v>
      </c>
      <c r="P73">
        <f t="shared" si="46"/>
        <v>0.38387539542403437</v>
      </c>
      <c r="Q73">
        <f t="shared" si="47"/>
        <v>0.99279758846834953</v>
      </c>
    </row>
    <row r="74" spans="2:33">
      <c r="B74" s="146"/>
      <c r="C74" s="130">
        <v>45055</v>
      </c>
      <c r="D74" s="81">
        <v>0.45833333333333331</v>
      </c>
      <c r="E74" s="4">
        <v>3</v>
      </c>
      <c r="F74" s="4">
        <v>2.5</v>
      </c>
      <c r="G74" s="93">
        <v>42</v>
      </c>
      <c r="H74" s="93">
        <f>offset+2.88</f>
        <v>8.83</v>
      </c>
      <c r="I74" s="4">
        <f t="shared" si="38"/>
        <v>0.61655118110236218</v>
      </c>
      <c r="J74" s="4">
        <f t="shared" ref="J74:J93" si="69">I74/E74</f>
        <v>0.20551706036745407</v>
      </c>
      <c r="K74" s="88">
        <f t="shared" ref="K74:K105" si="70">$H$4-F74*SIN(theta)/12</f>
        <v>3.1460793656036419</v>
      </c>
      <c r="L74" s="4">
        <f t="shared" ref="L74" si="71">L73</f>
        <v>8.2563837379509106E-2</v>
      </c>
      <c r="M74" s="4">
        <f t="shared" si="37"/>
        <v>1.48322692936718</v>
      </c>
      <c r="N74" s="4">
        <f t="shared" ref="N74:N105" si="72">H74-$H$7-(K74+L74*COS(theta))</f>
        <v>5.5939700915539596</v>
      </c>
      <c r="O74" s="4">
        <f t="shared" si="30"/>
        <v>18.971453178145889</v>
      </c>
      <c r="P74" s="4">
        <f t="shared" si="46"/>
        <v>0.62229744549900179</v>
      </c>
      <c r="Q74" s="4">
        <f t="shared" si="47"/>
        <v>1.0560460736252244</v>
      </c>
      <c r="R74" s="131"/>
      <c r="U74" s="75"/>
    </row>
    <row r="75" spans="2:33">
      <c r="C75" s="133">
        <v>45056</v>
      </c>
      <c r="D75" s="102">
        <v>0.60625000000000007</v>
      </c>
      <c r="E75" s="13">
        <v>3</v>
      </c>
      <c r="F75" s="13">
        <v>0</v>
      </c>
      <c r="G75" s="112">
        <v>40.49</v>
      </c>
      <c r="H75" s="112">
        <v>5.89</v>
      </c>
      <c r="I75" s="3">
        <f t="shared" ref="I75:I93" si="73">(G75-$G$75)/2.54+$H$3/2</f>
        <v>2.5999999999999999E-2</v>
      </c>
      <c r="J75" s="3">
        <f t="shared" si="69"/>
        <v>8.6666666666666663E-3</v>
      </c>
      <c r="K75" s="108">
        <f t="shared" si="70"/>
        <v>3.2</v>
      </c>
      <c r="L75" s="20">
        <v>8.2489513533175879E-2</v>
      </c>
      <c r="M75" s="20">
        <f>2.97860614724539/2</f>
        <v>1.4893030736226951</v>
      </c>
      <c r="N75" s="13">
        <f t="shared" si="72"/>
        <v>2.6001212484802831</v>
      </c>
      <c r="O75" s="13">
        <f t="shared" ref="O75:O85" si="74">SQRT(2*32.17*N75)</f>
        <v>12.934133180357369</v>
      </c>
      <c r="P75" s="13">
        <f t="shared" si="46"/>
        <v>2.6265964894983531E-2</v>
      </c>
      <c r="Q75" s="13">
        <f t="shared" si="47"/>
        <v>0.71639572422670494</v>
      </c>
      <c r="R75" s="13"/>
      <c r="U75" s="75"/>
    </row>
    <row r="76" spans="2:33">
      <c r="C76" s="133">
        <f t="shared" ref="C76:D79" si="75">C75</f>
        <v>45056</v>
      </c>
      <c r="D76" s="102">
        <f t="shared" si="75"/>
        <v>0.60625000000000007</v>
      </c>
      <c r="E76" s="13">
        <v>3</v>
      </c>
      <c r="F76" s="13">
        <v>0</v>
      </c>
      <c r="G76" s="112">
        <v>40.549999999999997</v>
      </c>
      <c r="H76" s="112">
        <f>offset+0.44</f>
        <v>6.3900000000000006</v>
      </c>
      <c r="I76" s="13">
        <f t="shared" si="73"/>
        <v>4.9622047244092582E-2</v>
      </c>
      <c r="J76" s="13">
        <f t="shared" si="69"/>
        <v>1.6540682414697527E-2</v>
      </c>
      <c r="K76" s="108">
        <f t="shared" si="70"/>
        <v>3.2</v>
      </c>
      <c r="L76" s="13">
        <f t="shared" ref="L76:L105" si="76">L75</f>
        <v>8.2489513533175879E-2</v>
      </c>
      <c r="M76" s="13">
        <f t="shared" si="37"/>
        <v>1.4893030736226951</v>
      </c>
      <c r="N76" s="13">
        <f t="shared" si="72"/>
        <v>3.100121248480284</v>
      </c>
      <c r="O76" s="13">
        <f t="shared" si="74"/>
        <v>14.12309460165234</v>
      </c>
      <c r="P76" s="13">
        <f t="shared" si="46"/>
        <v>5.0129651958867309E-2</v>
      </c>
      <c r="Q76" s="13">
        <f t="shared" si="47"/>
        <v>0.78224991535099098</v>
      </c>
      <c r="R76" s="13"/>
      <c r="U76" s="75"/>
    </row>
    <row r="77" spans="2:33">
      <c r="C77" s="133">
        <f t="shared" si="75"/>
        <v>45056</v>
      </c>
      <c r="D77" s="102">
        <f t="shared" si="75"/>
        <v>0.60625000000000007</v>
      </c>
      <c r="E77" s="13">
        <v>3</v>
      </c>
      <c r="F77" s="13">
        <v>0</v>
      </c>
      <c r="G77" s="112">
        <v>40.700000000000003</v>
      </c>
      <c r="H77" s="112">
        <f>offset+1.11</f>
        <v>7.0600000000000005</v>
      </c>
      <c r="I77" s="13">
        <f t="shared" si="73"/>
        <v>0.10867716535433104</v>
      </c>
      <c r="J77" s="13">
        <f t="shared" si="69"/>
        <v>3.6225721784777017E-2</v>
      </c>
      <c r="K77" s="108">
        <f t="shared" si="70"/>
        <v>3.2</v>
      </c>
      <c r="L77" s="13">
        <f t="shared" si="76"/>
        <v>8.2489513533175879E-2</v>
      </c>
      <c r="M77" s="13">
        <f t="shared" si="37"/>
        <v>1.4893030736226951</v>
      </c>
      <c r="N77" s="13">
        <f t="shared" si="72"/>
        <v>3.770121248480284</v>
      </c>
      <c r="O77" s="13">
        <f t="shared" si="74"/>
        <v>15.574646099581894</v>
      </c>
      <c r="P77" s="13">
        <f t="shared" si="46"/>
        <v>0.10978886961858385</v>
      </c>
      <c r="Q77" s="13">
        <f t="shared" si="47"/>
        <v>0.86264844473917135</v>
      </c>
      <c r="R77" s="13"/>
      <c r="U77" s="75"/>
      <c r="AG77" t="s">
        <v>197</v>
      </c>
    </row>
    <row r="78" spans="2:33">
      <c r="C78" s="133">
        <f t="shared" si="75"/>
        <v>45056</v>
      </c>
      <c r="D78" s="102">
        <f t="shared" si="75"/>
        <v>0.60625000000000007</v>
      </c>
      <c r="E78" s="13">
        <v>3</v>
      </c>
      <c r="F78" s="13">
        <v>0</v>
      </c>
      <c r="G78" s="112">
        <v>41</v>
      </c>
      <c r="H78" s="112">
        <f>offset+1.775</f>
        <v>7.7249999999999996</v>
      </c>
      <c r="I78" s="13">
        <f t="shared" si="73"/>
        <v>0.22678740157480237</v>
      </c>
      <c r="J78" s="13">
        <f t="shared" si="69"/>
        <v>7.5595800524934129E-2</v>
      </c>
      <c r="K78" s="108">
        <f t="shared" si="70"/>
        <v>3.2</v>
      </c>
      <c r="L78" s="13">
        <f t="shared" si="76"/>
        <v>8.2489513533175879E-2</v>
      </c>
      <c r="M78" s="13">
        <f t="shared" si="37"/>
        <v>1.4893030736226951</v>
      </c>
      <c r="N78" s="13">
        <f t="shared" si="72"/>
        <v>4.4351212484802831</v>
      </c>
      <c r="O78" s="13">
        <f t="shared" si="74"/>
        <v>16.892474689257977</v>
      </c>
      <c r="P78" s="13">
        <f t="shared" si="46"/>
        <v>0.22910730493801126</v>
      </c>
      <c r="Q78" s="13">
        <f t="shared" si="47"/>
        <v>0.93564033014370762</v>
      </c>
      <c r="R78" s="13"/>
      <c r="U78" s="75"/>
    </row>
    <row r="79" spans="2:33">
      <c r="C79" s="134">
        <f t="shared" si="75"/>
        <v>45056</v>
      </c>
      <c r="D79" s="135">
        <f t="shared" si="75"/>
        <v>0.60625000000000007</v>
      </c>
      <c r="E79" s="136">
        <v>3</v>
      </c>
      <c r="F79" s="136">
        <v>0</v>
      </c>
      <c r="G79" s="137">
        <v>42</v>
      </c>
      <c r="H79" s="137">
        <f>offset+3.005</f>
        <v>8.9550000000000001</v>
      </c>
      <c r="I79" s="136">
        <f t="shared" si="73"/>
        <v>0.62048818897637714</v>
      </c>
      <c r="J79" s="136">
        <f t="shared" si="69"/>
        <v>0.20682939632545905</v>
      </c>
      <c r="K79" s="138">
        <f t="shared" si="70"/>
        <v>3.2</v>
      </c>
      <c r="L79" s="136">
        <f t="shared" si="76"/>
        <v>8.2489513533175879E-2</v>
      </c>
      <c r="M79" s="136">
        <f t="shared" si="37"/>
        <v>1.4893030736226951</v>
      </c>
      <c r="N79" s="136">
        <f t="shared" si="72"/>
        <v>5.6651212484802844</v>
      </c>
      <c r="O79" s="136">
        <f t="shared" si="74"/>
        <v>19.091723367135341</v>
      </c>
      <c r="P79" s="136">
        <f t="shared" si="46"/>
        <v>0.62683542266943959</v>
      </c>
      <c r="Q79" s="136">
        <f t="shared" si="47"/>
        <v>1.0574523083700711</v>
      </c>
      <c r="R79" s="140"/>
      <c r="U79" s="75"/>
    </row>
    <row r="80" spans="2:33">
      <c r="C80" s="129">
        <f t="shared" ref="C80:D80" si="77">C79</f>
        <v>45056</v>
      </c>
      <c r="D80" s="64">
        <f t="shared" si="77"/>
        <v>0.60625000000000007</v>
      </c>
      <c r="E80">
        <v>3</v>
      </c>
      <c r="F80">
        <v>0.25</v>
      </c>
      <c r="G80" s="11">
        <v>40.49</v>
      </c>
      <c r="H80" s="11">
        <f>offset+0.06</f>
        <v>6.01</v>
      </c>
      <c r="I80">
        <f t="shared" si="73"/>
        <v>2.5999999999999999E-2</v>
      </c>
      <c r="J80">
        <f t="shared" si="69"/>
        <v>8.6666666666666663E-3</v>
      </c>
      <c r="K80">
        <f t="shared" si="70"/>
        <v>3.1946079365603643</v>
      </c>
      <c r="L80">
        <f t="shared" si="76"/>
        <v>8.2489513533175879E-2</v>
      </c>
      <c r="M80">
        <f t="shared" si="37"/>
        <v>1.4893030736226951</v>
      </c>
      <c r="N80">
        <f t="shared" si="72"/>
        <v>2.7255133119199191</v>
      </c>
      <c r="O80">
        <f t="shared" si="74"/>
        <v>13.242338407129143</v>
      </c>
      <c r="P80">
        <f t="shared" ref="P80:P85" si="78">I80/12/L80</f>
        <v>2.6265964894983531E-2</v>
      </c>
      <c r="Q80">
        <f t="shared" ref="Q80:Q85" si="79">O80/(M80/L80)</f>
        <v>0.73346659426992811</v>
      </c>
      <c r="R80" s="141">
        <f>(M80/L80)*F80/12/0.0000106</f>
        <v>35484.381576346866</v>
      </c>
      <c r="S80" t="e">
        <f>NA()</f>
        <v>#N/A</v>
      </c>
      <c r="T80" t="e">
        <f>S80*L80*12</f>
        <v>#N/A</v>
      </c>
      <c r="U80" s="75">
        <f>O80/O$75-1</f>
        <v>2.3828827372817996E-2</v>
      </c>
    </row>
    <row r="81" spans="3:33">
      <c r="C81" s="129">
        <f t="shared" ref="C81:D81" si="80">C80</f>
        <v>45056</v>
      </c>
      <c r="D81" s="64">
        <f t="shared" si="80"/>
        <v>0.60625000000000007</v>
      </c>
      <c r="E81">
        <v>3</v>
      </c>
      <c r="F81">
        <v>0.25</v>
      </c>
      <c r="G81" s="11">
        <v>40.549999999999997</v>
      </c>
      <c r="H81" s="11">
        <f>offset+0.47</f>
        <v>6.42</v>
      </c>
      <c r="I81">
        <f t="shared" si="73"/>
        <v>4.9622047244092582E-2</v>
      </c>
      <c r="J81">
        <f t="shared" si="69"/>
        <v>1.6540682414697527E-2</v>
      </c>
      <c r="K81">
        <f t="shared" si="70"/>
        <v>3.1946079365603643</v>
      </c>
      <c r="L81">
        <f t="shared" si="76"/>
        <v>8.2489513533175879E-2</v>
      </c>
      <c r="M81">
        <f t="shared" si="37"/>
        <v>1.4893030736226951</v>
      </c>
      <c r="N81">
        <f t="shared" si="72"/>
        <v>3.1355133119199192</v>
      </c>
      <c r="O81">
        <f t="shared" si="74"/>
        <v>14.203482899941394</v>
      </c>
      <c r="P81">
        <f t="shared" si="78"/>
        <v>5.0129651958867309E-2</v>
      </c>
      <c r="Q81">
        <f t="shared" si="79"/>
        <v>0.78670246214087547</v>
      </c>
    </row>
    <row r="82" spans="3:33">
      <c r="C82" s="130">
        <f t="shared" ref="C82:D82" si="81">C81</f>
        <v>45056</v>
      </c>
      <c r="D82" s="81">
        <f t="shared" si="81"/>
        <v>0.60625000000000007</v>
      </c>
      <c r="E82" s="4">
        <v>3</v>
      </c>
      <c r="F82" s="4">
        <v>0.25</v>
      </c>
      <c r="G82" s="93">
        <v>40.700000000000003</v>
      </c>
      <c r="H82" s="93">
        <f>offset+1.095</f>
        <v>7.0449999999999999</v>
      </c>
      <c r="I82" s="4">
        <f t="shared" si="73"/>
        <v>0.10867716535433104</v>
      </c>
      <c r="J82" s="4">
        <f t="shared" si="69"/>
        <v>3.6225721784777017E-2</v>
      </c>
      <c r="K82" s="4">
        <f t="shared" si="70"/>
        <v>3.1946079365603643</v>
      </c>
      <c r="L82" s="4">
        <f t="shared" si="76"/>
        <v>8.2489513533175879E-2</v>
      </c>
      <c r="M82" s="4">
        <f t="shared" si="37"/>
        <v>1.4893030736226951</v>
      </c>
      <c r="N82" s="4">
        <f t="shared" si="72"/>
        <v>3.7605133119199192</v>
      </c>
      <c r="O82" s="4">
        <f t="shared" si="74"/>
        <v>15.554787895980054</v>
      </c>
      <c r="P82" s="4">
        <f t="shared" si="78"/>
        <v>0.10978886961858385</v>
      </c>
      <c r="Q82" s="4">
        <f t="shared" si="79"/>
        <v>0.86154853862619063</v>
      </c>
    </row>
    <row r="83" spans="3:33">
      <c r="C83" s="129">
        <f t="shared" ref="C83:D83" si="82">C82</f>
        <v>45056</v>
      </c>
      <c r="D83" s="64">
        <f t="shared" si="82"/>
        <v>0.60625000000000007</v>
      </c>
      <c r="E83">
        <v>3</v>
      </c>
      <c r="F83">
        <v>0.5</v>
      </c>
      <c r="G83" s="11">
        <v>40.49</v>
      </c>
      <c r="H83" s="11">
        <v>5.63</v>
      </c>
      <c r="I83">
        <f t="shared" si="73"/>
        <v>2.5999999999999999E-2</v>
      </c>
      <c r="J83">
        <f t="shared" si="69"/>
        <v>8.6666666666666663E-3</v>
      </c>
      <c r="K83">
        <f t="shared" si="70"/>
        <v>3.1892158731207285</v>
      </c>
      <c r="L83">
        <f t="shared" si="76"/>
        <v>8.2489513533175879E-2</v>
      </c>
      <c r="M83">
        <f t="shared" si="37"/>
        <v>1.4893030736226951</v>
      </c>
      <c r="N83">
        <f t="shared" si="72"/>
        <v>2.350905375359555</v>
      </c>
      <c r="O83">
        <f t="shared" si="74"/>
        <v>12.29866870236912</v>
      </c>
      <c r="P83">
        <f t="shared" si="78"/>
        <v>2.6265964894983531E-2</v>
      </c>
      <c r="Q83">
        <f t="shared" si="79"/>
        <v>0.68119861989967512</v>
      </c>
      <c r="R83" s="141">
        <f>(M83/L83)*F83/12/0.0000106</f>
        <v>70968.763152693733</v>
      </c>
      <c r="S83">
        <v>0.06</v>
      </c>
      <c r="T83">
        <f>S83*L83*12</f>
        <v>5.9392449743886633E-2</v>
      </c>
      <c r="U83" s="75">
        <f>O83/O$75-1</f>
        <v>-4.9130812952607239E-2</v>
      </c>
    </row>
    <row r="84" spans="3:33">
      <c r="C84" s="129">
        <f t="shared" ref="C84:D84" si="83">C83</f>
        <v>45056</v>
      </c>
      <c r="D84" s="64">
        <f t="shared" si="83"/>
        <v>0.60625000000000007</v>
      </c>
      <c r="E84">
        <v>3</v>
      </c>
      <c r="F84">
        <v>0.5</v>
      </c>
      <c r="G84" s="11">
        <v>40.520000000000003</v>
      </c>
      <c r="H84" s="11">
        <v>5.91</v>
      </c>
      <c r="I84">
        <f t="shared" si="73"/>
        <v>3.781102362204769E-2</v>
      </c>
      <c r="J84">
        <f t="shared" si="69"/>
        <v>1.2603674540682563E-2</v>
      </c>
      <c r="K84">
        <f t="shared" si="70"/>
        <v>3.1892158731207285</v>
      </c>
      <c r="L84">
        <f t="shared" si="76"/>
        <v>8.2489513533175879E-2</v>
      </c>
      <c r="M84">
        <f t="shared" si="37"/>
        <v>1.4893030736226951</v>
      </c>
      <c r="N84">
        <f t="shared" si="72"/>
        <v>2.6309053753595553</v>
      </c>
      <c r="O84">
        <f t="shared" si="74"/>
        <v>13.010474697359577</v>
      </c>
      <c r="P84">
        <f t="shared" si="78"/>
        <v>3.8197808426926834E-2</v>
      </c>
      <c r="Q84">
        <f t="shared" si="79"/>
        <v>0.72062412790855501</v>
      </c>
    </row>
    <row r="85" spans="3:33">
      <c r="C85" s="129">
        <f t="shared" ref="C85:D85" si="84">C84</f>
        <v>45056</v>
      </c>
      <c r="D85" s="64">
        <f t="shared" si="84"/>
        <v>0.60625000000000007</v>
      </c>
      <c r="E85">
        <v>3</v>
      </c>
      <c r="F85">
        <v>0.5</v>
      </c>
      <c r="G85" s="11">
        <v>40.549999999999997</v>
      </c>
      <c r="H85" s="11">
        <f>offset+0.31</f>
        <v>6.26</v>
      </c>
      <c r="I85">
        <f t="shared" si="73"/>
        <v>4.9622047244092582E-2</v>
      </c>
      <c r="J85">
        <f t="shared" si="69"/>
        <v>1.6540682414697527E-2</v>
      </c>
      <c r="K85">
        <f t="shared" si="70"/>
        <v>3.1892158731207285</v>
      </c>
      <c r="L85">
        <f t="shared" si="76"/>
        <v>8.2489513533175879E-2</v>
      </c>
      <c r="M85">
        <f t="shared" si="37"/>
        <v>1.4893030736226951</v>
      </c>
      <c r="N85">
        <f t="shared" si="72"/>
        <v>2.9809053753595549</v>
      </c>
      <c r="O85">
        <f t="shared" si="74"/>
        <v>13.848879082822327</v>
      </c>
      <c r="P85">
        <f t="shared" si="78"/>
        <v>5.0129651958867309E-2</v>
      </c>
      <c r="Q85">
        <f t="shared" si="79"/>
        <v>0.76706166713465385</v>
      </c>
    </row>
    <row r="86" spans="3:33">
      <c r="C86" s="129">
        <f t="shared" ref="C86:D86" si="85">C85</f>
        <v>45056</v>
      </c>
      <c r="D86" s="64">
        <f t="shared" si="85"/>
        <v>0.60625000000000007</v>
      </c>
      <c r="E86">
        <v>3</v>
      </c>
      <c r="F86">
        <v>0.5</v>
      </c>
      <c r="G86" s="11">
        <v>40.700000000000003</v>
      </c>
      <c r="H86" s="11">
        <f>offset+1.06</f>
        <v>7.01</v>
      </c>
      <c r="I86">
        <f t="shared" si="73"/>
        <v>0.10867716535433104</v>
      </c>
      <c r="J86">
        <f t="shared" si="69"/>
        <v>3.6225721784777017E-2</v>
      </c>
      <c r="K86">
        <f t="shared" si="70"/>
        <v>3.1892158731207285</v>
      </c>
      <c r="L86">
        <f t="shared" si="76"/>
        <v>8.2489513533175879E-2</v>
      </c>
      <c r="M86">
        <f t="shared" si="37"/>
        <v>1.4893030736226951</v>
      </c>
      <c r="N86">
        <f t="shared" si="72"/>
        <v>3.7309053753595549</v>
      </c>
      <c r="O86">
        <f t="shared" ref="O86:O87" si="86">SQRT(2*32.17*N86)</f>
        <v>15.493432539325616</v>
      </c>
      <c r="P86">
        <f t="shared" ref="P86:P87" si="87">I86/12/L86</f>
        <v>0.10978886961858385</v>
      </c>
      <c r="Q86">
        <f t="shared" ref="Q86:Q87" si="88">O86/(M86/L86)</f>
        <v>0.85815018834227708</v>
      </c>
      <c r="R86" s="131"/>
    </row>
    <row r="87" spans="3:33">
      <c r="C87" s="130">
        <f t="shared" ref="C87:D87" si="89">C86</f>
        <v>45056</v>
      </c>
      <c r="D87" s="81">
        <f t="shared" si="89"/>
        <v>0.60625000000000007</v>
      </c>
      <c r="E87" s="4">
        <v>3</v>
      </c>
      <c r="F87" s="4">
        <v>0.5</v>
      </c>
      <c r="G87" s="93">
        <v>41</v>
      </c>
      <c r="H87" s="93">
        <f>offset+1.745</f>
        <v>7.6950000000000003</v>
      </c>
      <c r="I87" s="4">
        <f t="shared" si="73"/>
        <v>0.22678740157480237</v>
      </c>
      <c r="J87" s="4">
        <f t="shared" si="69"/>
        <v>7.5595800524934129E-2</v>
      </c>
      <c r="K87" s="88">
        <f t="shared" si="70"/>
        <v>3.1892158731207285</v>
      </c>
      <c r="L87" s="4">
        <f t="shared" si="76"/>
        <v>8.2489513533175879E-2</v>
      </c>
      <c r="M87" s="4">
        <f t="shared" si="37"/>
        <v>1.4893030736226951</v>
      </c>
      <c r="N87" s="4">
        <f t="shared" si="72"/>
        <v>4.4159053753595554</v>
      </c>
      <c r="O87" s="4">
        <f t="shared" si="86"/>
        <v>16.855840289069953</v>
      </c>
      <c r="P87" s="4">
        <f t="shared" si="87"/>
        <v>0.22910730493801126</v>
      </c>
      <c r="Q87" s="4">
        <f t="shared" si="88"/>
        <v>0.93361122411175734</v>
      </c>
      <c r="R87" s="141"/>
      <c r="U87" s="75"/>
    </row>
    <row r="88" spans="3:33">
      <c r="C88" s="129">
        <f t="shared" ref="C88:D88" si="90">C87</f>
        <v>45056</v>
      </c>
      <c r="D88" s="64">
        <f t="shared" si="90"/>
        <v>0.60625000000000007</v>
      </c>
      <c r="E88">
        <v>3</v>
      </c>
      <c r="F88">
        <v>1</v>
      </c>
      <c r="G88" s="11">
        <v>40.49</v>
      </c>
      <c r="H88" s="11">
        <v>5.69</v>
      </c>
      <c r="I88">
        <f t="shared" si="73"/>
        <v>2.5999999999999999E-2</v>
      </c>
      <c r="J88">
        <f t="shared" si="69"/>
        <v>8.6666666666666663E-3</v>
      </c>
      <c r="K88">
        <f t="shared" si="70"/>
        <v>3.1784317462414569</v>
      </c>
      <c r="L88">
        <f t="shared" si="76"/>
        <v>8.2489513533175879E-2</v>
      </c>
      <c r="M88">
        <f t="shared" si="37"/>
        <v>1.4893030736226951</v>
      </c>
      <c r="N88">
        <f t="shared" si="72"/>
        <v>2.4216895022388272</v>
      </c>
      <c r="O88">
        <f t="shared" ref="O88:O98" si="91">SQRT(2*32.17*N88)</f>
        <v>12.48244777974441</v>
      </c>
      <c r="P88">
        <f t="shared" ref="P88:P98" si="92">I88/12/L88</f>
        <v>2.6265964894983531E-2</v>
      </c>
      <c r="Q88">
        <f t="shared" ref="Q88:Q98" si="93">O88/(M88/L88)</f>
        <v>0.69137777480693496</v>
      </c>
      <c r="R88" s="141">
        <f>(M88/L88)*F88/12/0.0000106</f>
        <v>141937.52630538747</v>
      </c>
      <c r="S88">
        <v>0.1</v>
      </c>
      <c r="T88">
        <f>S88*L88*12</f>
        <v>9.8987416239811055E-2</v>
      </c>
      <c r="U88" s="75">
        <f>O88/O$75-1</f>
        <v>-3.4921969204625092E-2</v>
      </c>
    </row>
    <row r="89" spans="3:33">
      <c r="C89" s="129">
        <f t="shared" ref="C89:D89" si="94">C88</f>
        <v>45056</v>
      </c>
      <c r="D89" s="64">
        <f t="shared" si="94"/>
        <v>0.60625000000000007</v>
      </c>
      <c r="E89">
        <v>3</v>
      </c>
      <c r="F89">
        <v>1</v>
      </c>
      <c r="G89" s="11">
        <v>40.520000000000003</v>
      </c>
      <c r="H89" s="11">
        <v>5.9349999999999996</v>
      </c>
      <c r="I89">
        <f t="shared" si="73"/>
        <v>3.781102362204769E-2</v>
      </c>
      <c r="J89">
        <f t="shared" si="69"/>
        <v>1.2603674540682563E-2</v>
      </c>
      <c r="K89">
        <f t="shared" si="70"/>
        <v>3.1784317462414569</v>
      </c>
      <c r="L89">
        <f t="shared" si="76"/>
        <v>8.2489513533175879E-2</v>
      </c>
      <c r="M89">
        <f t="shared" si="37"/>
        <v>1.4893030736226951</v>
      </c>
      <c r="N89">
        <f t="shared" si="72"/>
        <v>2.6666895022388264</v>
      </c>
      <c r="O89">
        <f t="shared" si="91"/>
        <v>13.098656517904654</v>
      </c>
      <c r="P89">
        <f t="shared" si="92"/>
        <v>3.8197808426926834E-2</v>
      </c>
      <c r="Q89">
        <f t="shared" si="93"/>
        <v>0.72550834228242267</v>
      </c>
    </row>
    <row r="90" spans="3:33">
      <c r="C90" s="129">
        <f t="shared" ref="C90:D90" si="95">C89</f>
        <v>45056</v>
      </c>
      <c r="D90" s="64">
        <f t="shared" si="95"/>
        <v>0.60625000000000007</v>
      </c>
      <c r="E90">
        <v>3</v>
      </c>
      <c r="F90">
        <v>1</v>
      </c>
      <c r="G90" s="11">
        <v>40.549999999999997</v>
      </c>
      <c r="H90" s="11">
        <f>offset+0.205</f>
        <v>6.1550000000000002</v>
      </c>
      <c r="I90">
        <f t="shared" si="73"/>
        <v>4.9622047244092582E-2</v>
      </c>
      <c r="J90">
        <f t="shared" si="69"/>
        <v>1.6540682414697527E-2</v>
      </c>
      <c r="K90">
        <f t="shared" si="70"/>
        <v>3.1784317462414569</v>
      </c>
      <c r="L90">
        <f t="shared" si="76"/>
        <v>8.2489513533175879E-2</v>
      </c>
      <c r="M90">
        <f t="shared" si="37"/>
        <v>1.4893030736226951</v>
      </c>
      <c r="N90">
        <f t="shared" si="72"/>
        <v>2.886689502238827</v>
      </c>
      <c r="O90">
        <f t="shared" si="91"/>
        <v>13.628264840912292</v>
      </c>
      <c r="P90">
        <f t="shared" si="92"/>
        <v>5.0129651958867309E-2</v>
      </c>
      <c r="Q90">
        <f t="shared" si="93"/>
        <v>0.75484228626049643</v>
      </c>
    </row>
    <row r="91" spans="3:33">
      <c r="C91" s="129">
        <f t="shared" ref="C91:D91" si="96">C90</f>
        <v>45056</v>
      </c>
      <c r="D91" s="64">
        <f t="shared" si="96"/>
        <v>0.60625000000000007</v>
      </c>
      <c r="E91">
        <v>3</v>
      </c>
      <c r="F91">
        <v>1</v>
      </c>
      <c r="G91" s="11">
        <v>40.6</v>
      </c>
      <c r="H91" s="11">
        <f>offset+0.575</f>
        <v>6.5250000000000004</v>
      </c>
      <c r="I91">
        <f t="shared" si="73"/>
        <v>6.9307086614173008E-2</v>
      </c>
      <c r="J91">
        <f t="shared" si="69"/>
        <v>2.3102362204724336E-2</v>
      </c>
      <c r="K91">
        <f t="shared" si="70"/>
        <v>3.1784317462414569</v>
      </c>
      <c r="L91">
        <f t="shared" si="76"/>
        <v>8.2489513533175879E-2</v>
      </c>
      <c r="M91">
        <f t="shared" si="37"/>
        <v>1.4893030736226951</v>
      </c>
      <c r="N91">
        <f t="shared" si="72"/>
        <v>3.2566895022388271</v>
      </c>
      <c r="O91">
        <f t="shared" si="91"/>
        <v>14.475337736096044</v>
      </c>
      <c r="P91">
        <f t="shared" si="92"/>
        <v>7.0016057845440433E-2</v>
      </c>
      <c r="Q91">
        <f t="shared" si="93"/>
        <v>0.80175995687328727</v>
      </c>
      <c r="R91" s="131"/>
    </row>
    <row r="92" spans="3:33">
      <c r="C92" s="129">
        <f t="shared" ref="C92:D92" si="97">C91</f>
        <v>45056</v>
      </c>
      <c r="D92" s="64">
        <f t="shared" si="97"/>
        <v>0.60625000000000007</v>
      </c>
      <c r="E92">
        <v>3</v>
      </c>
      <c r="F92">
        <v>1</v>
      </c>
      <c r="G92" s="11">
        <v>40.700000000000003</v>
      </c>
      <c r="H92" s="11">
        <f>offset+1.05</f>
        <v>7</v>
      </c>
      <c r="I92">
        <f t="shared" si="73"/>
        <v>0.10867716535433104</v>
      </c>
      <c r="J92">
        <f t="shared" si="69"/>
        <v>3.6225721784777017E-2</v>
      </c>
      <c r="K92">
        <f t="shared" si="70"/>
        <v>3.1784317462414569</v>
      </c>
      <c r="L92">
        <f t="shared" si="76"/>
        <v>8.2489513533175879E-2</v>
      </c>
      <c r="M92">
        <f t="shared" si="37"/>
        <v>1.4893030736226951</v>
      </c>
      <c r="N92">
        <f t="shared" si="72"/>
        <v>3.7316895022388268</v>
      </c>
      <c r="O92">
        <f t="shared" si="91"/>
        <v>15.495060586330283</v>
      </c>
      <c r="P92">
        <f t="shared" si="92"/>
        <v>0.10978886961858385</v>
      </c>
      <c r="Q92">
        <f t="shared" si="93"/>
        <v>0.85824036260418701</v>
      </c>
      <c r="R92" s="131"/>
      <c r="AG92" t="s">
        <v>196</v>
      </c>
    </row>
    <row r="93" spans="3:33">
      <c r="C93" s="130">
        <f t="shared" ref="C93:D93" si="98">C92</f>
        <v>45056</v>
      </c>
      <c r="D93" s="81">
        <f t="shared" si="98"/>
        <v>0.60625000000000007</v>
      </c>
      <c r="E93" s="4">
        <v>3</v>
      </c>
      <c r="F93" s="4">
        <v>1</v>
      </c>
      <c r="G93" s="93">
        <v>41</v>
      </c>
      <c r="H93" s="93">
        <f>offset+1.745</f>
        <v>7.6950000000000003</v>
      </c>
      <c r="I93" s="4">
        <f t="shared" si="73"/>
        <v>0.22678740157480237</v>
      </c>
      <c r="J93" s="4">
        <f t="shared" si="69"/>
        <v>7.5595800524934129E-2</v>
      </c>
      <c r="K93" s="88">
        <f t="shared" si="70"/>
        <v>3.1784317462414569</v>
      </c>
      <c r="L93" s="4">
        <f t="shared" si="76"/>
        <v>8.2489513533175879E-2</v>
      </c>
      <c r="M93" s="4">
        <f t="shared" si="37"/>
        <v>1.4893030736226951</v>
      </c>
      <c r="N93" s="4">
        <f t="shared" si="72"/>
        <v>4.4266895022388271</v>
      </c>
      <c r="O93" s="4">
        <f t="shared" si="91"/>
        <v>16.876409647020488</v>
      </c>
      <c r="P93" s="4">
        <f t="shared" si="92"/>
        <v>0.22910730493801126</v>
      </c>
      <c r="Q93" s="4">
        <f t="shared" si="93"/>
        <v>0.93475051963936417</v>
      </c>
      <c r="R93" s="141"/>
      <c r="U93" s="75"/>
    </row>
    <row r="94" spans="3:33">
      <c r="C94" s="133">
        <v>45058</v>
      </c>
      <c r="D94" s="102">
        <v>0.37222222222222223</v>
      </c>
      <c r="E94" s="13">
        <v>1.5</v>
      </c>
      <c r="F94" s="13">
        <v>0</v>
      </c>
      <c r="G94" s="112">
        <v>40.450000000000003</v>
      </c>
      <c r="H94" s="112">
        <v>5.8849999999999998</v>
      </c>
      <c r="I94" s="3">
        <f t="shared" ref="I94:I105" si="99">(G94-$G$94)/2.54+$H$3/2</f>
        <v>2.5999999999999999E-2</v>
      </c>
      <c r="J94" s="3">
        <f>I94/E94</f>
        <v>1.7333333333333333E-2</v>
      </c>
      <c r="K94" s="108">
        <f t="shared" si="70"/>
        <v>3.2</v>
      </c>
      <c r="L94" s="20">
        <v>8.2887518893781639E-2</v>
      </c>
      <c r="M94" s="20">
        <f>2.97976172840179/2</f>
        <v>1.4898808642008949</v>
      </c>
      <c r="N94" s="13">
        <f t="shared" si="72"/>
        <v>2.5947368048234725</v>
      </c>
      <c r="O94" s="13">
        <f t="shared" si="91"/>
        <v>12.920733958345487</v>
      </c>
      <c r="P94" s="13">
        <f t="shared" si="92"/>
        <v>2.6139842229361429E-2</v>
      </c>
      <c r="Q94" s="13">
        <f t="shared" si="93"/>
        <v>0.7188276632227949</v>
      </c>
      <c r="R94" s="13"/>
      <c r="U94" s="75"/>
    </row>
    <row r="95" spans="3:33">
      <c r="C95" s="133">
        <f t="shared" ref="C95:D95" si="100">C94</f>
        <v>45058</v>
      </c>
      <c r="D95" s="102">
        <f t="shared" si="100"/>
        <v>0.37222222222222223</v>
      </c>
      <c r="E95" s="13">
        <v>1.5</v>
      </c>
      <c r="F95" s="13">
        <v>0</v>
      </c>
      <c r="G95" s="112">
        <v>40.5</v>
      </c>
      <c r="H95" s="112">
        <f>offset+0.32</f>
        <v>6.2700000000000005</v>
      </c>
      <c r="I95" s="13">
        <f t="shared" si="99"/>
        <v>4.5685039370077618E-2</v>
      </c>
      <c r="J95" s="13">
        <f t="shared" ref="J95:J156" si="101">I95/E95</f>
        <v>3.045669291338508E-2</v>
      </c>
      <c r="K95" s="108">
        <f t="shared" si="70"/>
        <v>3.2</v>
      </c>
      <c r="L95" s="13">
        <f t="shared" si="76"/>
        <v>8.2887518893781639E-2</v>
      </c>
      <c r="M95" s="13">
        <f t="shared" si="37"/>
        <v>1.4898808642008949</v>
      </c>
      <c r="N95" s="13">
        <f t="shared" si="72"/>
        <v>2.9797368048234731</v>
      </c>
      <c r="O95" s="13">
        <f t="shared" si="91"/>
        <v>13.846164307213108</v>
      </c>
      <c r="P95" s="13">
        <f t="shared" si="92"/>
        <v>4.5930758514461323E-2</v>
      </c>
      <c r="Q95" s="13">
        <f t="shared" si="93"/>
        <v>0.77031273653957044</v>
      </c>
      <c r="R95" s="13"/>
      <c r="U95" s="75"/>
    </row>
    <row r="96" spans="3:33">
      <c r="C96" s="133">
        <f t="shared" ref="C96:D96" si="102">C95</f>
        <v>45058</v>
      </c>
      <c r="D96" s="102">
        <f t="shared" si="102"/>
        <v>0.37222222222222223</v>
      </c>
      <c r="E96" s="13">
        <v>1.5</v>
      </c>
      <c r="F96" s="13">
        <v>0</v>
      </c>
      <c r="G96" s="112">
        <v>40.65</v>
      </c>
      <c r="H96" s="112">
        <f>offset+1.03</f>
        <v>6.98</v>
      </c>
      <c r="I96" s="13">
        <f t="shared" si="99"/>
        <v>0.10474015748031328</v>
      </c>
      <c r="J96" s="13">
        <f t="shared" si="101"/>
        <v>6.9826771653542188E-2</v>
      </c>
      <c r="K96" s="108">
        <f t="shared" si="70"/>
        <v>3.2</v>
      </c>
      <c r="L96" s="13">
        <f t="shared" si="76"/>
        <v>8.2887518893781639E-2</v>
      </c>
      <c r="M96" s="13">
        <f t="shared" si="37"/>
        <v>1.4898808642008949</v>
      </c>
      <c r="N96" s="13">
        <f t="shared" si="72"/>
        <v>3.6897368048234731</v>
      </c>
      <c r="O96" s="13">
        <f t="shared" si="91"/>
        <v>15.407714497041482</v>
      </c>
      <c r="P96" s="13">
        <f t="shared" si="92"/>
        <v>0.10530350736976384</v>
      </c>
      <c r="Q96" s="13">
        <f t="shared" si="93"/>
        <v>0.85718748201286687</v>
      </c>
      <c r="R96" s="13"/>
      <c r="U96" s="75"/>
    </row>
    <row r="97" spans="3:36">
      <c r="C97" s="133">
        <f t="shared" ref="C97:D97" si="103">C96</f>
        <v>45058</v>
      </c>
      <c r="D97" s="102">
        <f t="shared" si="103"/>
        <v>0.37222222222222223</v>
      </c>
      <c r="E97" s="13">
        <v>1.5</v>
      </c>
      <c r="F97" s="13">
        <v>0</v>
      </c>
      <c r="G97" s="112">
        <v>41</v>
      </c>
      <c r="H97" s="112">
        <f>offset+1.825</f>
        <v>7.7750000000000004</v>
      </c>
      <c r="I97" s="13">
        <f t="shared" si="99"/>
        <v>0.242535433070865</v>
      </c>
      <c r="J97" s="13">
        <f t="shared" si="101"/>
        <v>0.16169028871391</v>
      </c>
      <c r="K97" s="108">
        <f t="shared" si="70"/>
        <v>3.2</v>
      </c>
      <c r="L97" s="13">
        <f t="shared" si="76"/>
        <v>8.2887518893781639E-2</v>
      </c>
      <c r="M97" s="13">
        <f t="shared" si="37"/>
        <v>1.4898808642008949</v>
      </c>
      <c r="N97" s="13">
        <f t="shared" si="72"/>
        <v>4.4847368048234735</v>
      </c>
      <c r="O97" s="13">
        <f t="shared" si="91"/>
        <v>16.986699680112739</v>
      </c>
      <c r="P97" s="13">
        <f t="shared" si="92"/>
        <v>0.24383992136547153</v>
      </c>
      <c r="Q97" s="13">
        <f t="shared" si="93"/>
        <v>0.94503219989574083</v>
      </c>
      <c r="R97" s="13"/>
      <c r="U97" s="75"/>
    </row>
    <row r="98" spans="3:36">
      <c r="C98" s="134">
        <f t="shared" ref="C98:D98" si="104">C97</f>
        <v>45058</v>
      </c>
      <c r="D98" s="135">
        <f t="shared" si="104"/>
        <v>0.37222222222222223</v>
      </c>
      <c r="E98" s="136">
        <v>1.5</v>
      </c>
      <c r="F98" s="136">
        <v>0</v>
      </c>
      <c r="G98" s="137">
        <v>42</v>
      </c>
      <c r="H98" s="137">
        <f>offset+3.05</f>
        <v>9</v>
      </c>
      <c r="I98" s="136">
        <f t="shared" si="99"/>
        <v>0.63623622047243988</v>
      </c>
      <c r="J98" s="136">
        <f t="shared" si="101"/>
        <v>0.42415748031495992</v>
      </c>
      <c r="K98" s="138">
        <f t="shared" si="70"/>
        <v>3.2</v>
      </c>
      <c r="L98" s="136">
        <f t="shared" si="76"/>
        <v>8.2887518893781639E-2</v>
      </c>
      <c r="M98" s="136">
        <f t="shared" si="37"/>
        <v>1.4898808642008949</v>
      </c>
      <c r="N98" s="136">
        <f t="shared" si="72"/>
        <v>5.7097368048234731</v>
      </c>
      <c r="O98" s="136">
        <f t="shared" si="91"/>
        <v>19.166754185890273</v>
      </c>
      <c r="P98" s="136">
        <f t="shared" si="92"/>
        <v>0.63965824706749208</v>
      </c>
      <c r="Q98" s="136">
        <f t="shared" si="93"/>
        <v>1.0663166014737342</v>
      </c>
      <c r="R98" s="140"/>
      <c r="U98" s="75"/>
    </row>
    <row r="99" spans="3:36">
      <c r="C99" s="129">
        <f t="shared" ref="C99:D99" si="105">C98</f>
        <v>45058</v>
      </c>
      <c r="D99" s="64">
        <f t="shared" si="105"/>
        <v>0.37222222222222223</v>
      </c>
      <c r="E99">
        <v>1.5</v>
      </c>
      <c r="F99">
        <v>0.5</v>
      </c>
      <c r="G99" s="11">
        <v>40.450000000000003</v>
      </c>
      <c r="H99" s="11">
        <v>5.4950000000000001</v>
      </c>
      <c r="I99">
        <f t="shared" si="99"/>
        <v>2.5999999999999999E-2</v>
      </c>
      <c r="J99">
        <f t="shared" si="101"/>
        <v>1.7333333333333333E-2</v>
      </c>
      <c r="K99">
        <f t="shared" si="70"/>
        <v>3.1892158731207285</v>
      </c>
      <c r="L99">
        <f t="shared" si="76"/>
        <v>8.2887518893781639E-2</v>
      </c>
      <c r="M99">
        <f t="shared" si="37"/>
        <v>1.4898808642008949</v>
      </c>
      <c r="N99">
        <f t="shared" si="72"/>
        <v>2.2155209317027444</v>
      </c>
      <c r="O99">
        <f t="shared" ref="O99:O102" si="106">SQRT(2*32.17*N99)</f>
        <v>11.939288787266793</v>
      </c>
      <c r="P99">
        <f t="shared" ref="P99:P102" si="107">I99/12/L99</f>
        <v>2.6139842229361429E-2</v>
      </c>
      <c r="Q99">
        <f t="shared" ref="Q99:Q102" si="108">O99/(M99/L99)</f>
        <v>0.66422628057826505</v>
      </c>
      <c r="R99" s="141">
        <f>(M99/L99)*F99/12/0.0000106</f>
        <v>70655.389569586448</v>
      </c>
      <c r="S99">
        <v>0.06</v>
      </c>
      <c r="T99">
        <f>S99*L99*12</f>
        <v>5.9679013603522776E-2</v>
      </c>
      <c r="U99" s="75">
        <f>O99/O$75-1</f>
        <v>-7.6916201435239029E-2</v>
      </c>
    </row>
    <row r="100" spans="3:36">
      <c r="C100" s="129">
        <f t="shared" ref="C100:D100" si="109">C99</f>
        <v>45058</v>
      </c>
      <c r="D100" s="64">
        <f t="shared" si="109"/>
        <v>0.37222222222222223</v>
      </c>
      <c r="E100">
        <v>1.5</v>
      </c>
      <c r="F100">
        <v>0.5</v>
      </c>
      <c r="G100" s="11">
        <v>40.47</v>
      </c>
      <c r="H100" s="11">
        <v>5.85</v>
      </c>
      <c r="I100">
        <f t="shared" si="99"/>
        <v>3.387401574802993E-2</v>
      </c>
      <c r="J100">
        <f t="shared" si="101"/>
        <v>2.2582677165353286E-2</v>
      </c>
      <c r="K100">
        <f t="shared" si="70"/>
        <v>3.1892158731207285</v>
      </c>
      <c r="L100">
        <f t="shared" si="76"/>
        <v>8.2887518893781639E-2</v>
      </c>
      <c r="M100">
        <f t="shared" si="37"/>
        <v>1.4898808642008949</v>
      </c>
      <c r="N100">
        <f t="shared" si="72"/>
        <v>2.570520931702744</v>
      </c>
      <c r="O100">
        <f t="shared" si="106"/>
        <v>12.860300025495306</v>
      </c>
      <c r="P100">
        <f t="shared" si="107"/>
        <v>3.4056208743400262E-2</v>
      </c>
      <c r="Q100">
        <f t="shared" si="108"/>
        <v>0.715465502615657</v>
      </c>
    </row>
    <row r="101" spans="3:36">
      <c r="C101" s="129">
        <f t="shared" ref="C101:D101" si="110">C100</f>
        <v>45058</v>
      </c>
      <c r="D101" s="64">
        <f t="shared" si="110"/>
        <v>0.37222222222222223</v>
      </c>
      <c r="E101">
        <v>1.5</v>
      </c>
      <c r="F101">
        <v>0.5</v>
      </c>
      <c r="G101" s="11">
        <v>40.49</v>
      </c>
      <c r="H101" s="11">
        <f>offset+0.095</f>
        <v>6.0449999999999999</v>
      </c>
      <c r="I101">
        <f t="shared" si="99"/>
        <v>4.1748031496062654E-2</v>
      </c>
      <c r="J101">
        <f t="shared" si="101"/>
        <v>2.7832020997375102E-2</v>
      </c>
      <c r="K101">
        <f t="shared" si="70"/>
        <v>3.1892158731207285</v>
      </c>
      <c r="L101">
        <f t="shared" si="76"/>
        <v>8.2887518893781639E-2</v>
      </c>
      <c r="M101">
        <f t="shared" si="37"/>
        <v>1.4898808642008949</v>
      </c>
      <c r="N101">
        <f t="shared" si="72"/>
        <v>2.7655209317027443</v>
      </c>
      <c r="O101">
        <f t="shared" si="106"/>
        <v>13.339176014497843</v>
      </c>
      <c r="P101">
        <f t="shared" si="107"/>
        <v>4.1972575257441906E-2</v>
      </c>
      <c r="Q101">
        <f t="shared" si="108"/>
        <v>0.74210712446608296</v>
      </c>
    </row>
    <row r="102" spans="3:36">
      <c r="C102" s="129">
        <f t="shared" ref="C102:D102" si="111">C101</f>
        <v>45058</v>
      </c>
      <c r="D102" s="64">
        <f t="shared" si="111"/>
        <v>0.37222222222222223</v>
      </c>
      <c r="E102">
        <v>1.5</v>
      </c>
      <c r="F102">
        <v>0.5</v>
      </c>
      <c r="G102" s="11">
        <v>40.520000000000003</v>
      </c>
      <c r="H102" s="11">
        <f>offset+0.34</f>
        <v>6.29</v>
      </c>
      <c r="I102">
        <f t="shared" si="99"/>
        <v>5.3559055118110349E-2</v>
      </c>
      <c r="J102">
        <f t="shared" si="101"/>
        <v>3.5706036745406899E-2</v>
      </c>
      <c r="K102">
        <f t="shared" si="70"/>
        <v>3.1892158731207285</v>
      </c>
      <c r="L102">
        <f t="shared" si="76"/>
        <v>8.2887518893781639E-2</v>
      </c>
      <c r="M102">
        <f t="shared" si="37"/>
        <v>1.4898808642008949</v>
      </c>
      <c r="N102">
        <f t="shared" si="72"/>
        <v>3.0105209317027444</v>
      </c>
      <c r="O102">
        <f t="shared" si="106"/>
        <v>13.917503969669079</v>
      </c>
      <c r="P102">
        <f t="shared" si="107"/>
        <v>5.3847125028502973E-2</v>
      </c>
      <c r="Q102">
        <f t="shared" si="108"/>
        <v>0.7742816227517354</v>
      </c>
      <c r="R102" s="131"/>
    </row>
    <row r="103" spans="3:36">
      <c r="C103" s="129">
        <f t="shared" ref="C103:D103" si="112">C102</f>
        <v>45058</v>
      </c>
      <c r="D103" s="64">
        <f t="shared" si="112"/>
        <v>0.37222222222222223</v>
      </c>
      <c r="E103">
        <v>1.5</v>
      </c>
      <c r="F103">
        <v>0.5</v>
      </c>
      <c r="G103" s="11">
        <v>40.6</v>
      </c>
      <c r="H103" s="11">
        <f>offset+0.765</f>
        <v>6.7149999999999999</v>
      </c>
      <c r="I103">
        <f t="shared" si="99"/>
        <v>8.5055118110235653E-2</v>
      </c>
      <c r="J103">
        <f t="shared" si="101"/>
        <v>5.6703412073490438E-2</v>
      </c>
      <c r="K103">
        <f t="shared" si="70"/>
        <v>3.1892158731207285</v>
      </c>
      <c r="L103">
        <f t="shared" si="76"/>
        <v>8.2887518893781639E-2</v>
      </c>
      <c r="M103">
        <f t="shared" si="37"/>
        <v>1.4898808642008949</v>
      </c>
      <c r="N103">
        <f t="shared" si="72"/>
        <v>3.4355209317027442</v>
      </c>
      <c r="O103">
        <f t="shared" ref="O103:O105" si="113">SQRT(2*32.17*N103)</f>
        <v>14.86746167796489</v>
      </c>
      <c r="P103">
        <f t="shared" ref="P103:P105" si="114">I103/12/L103</f>
        <v>8.5512591084663928E-2</v>
      </c>
      <c r="Q103">
        <f t="shared" ref="Q103:Q105" si="115">O103/(M103/L103)</f>
        <v>0.82713124273587746</v>
      </c>
      <c r="R103" s="131"/>
    </row>
    <row r="104" spans="3:36">
      <c r="C104" s="129">
        <f t="shared" ref="C104:D104" si="116">C103</f>
        <v>45058</v>
      </c>
      <c r="D104" s="64">
        <f t="shared" si="116"/>
        <v>0.37222222222222223</v>
      </c>
      <c r="E104">
        <v>1.5</v>
      </c>
      <c r="F104">
        <v>0.5</v>
      </c>
      <c r="G104" s="11">
        <v>40.9</v>
      </c>
      <c r="H104" s="11">
        <f>offset+1.585</f>
        <v>7.5350000000000001</v>
      </c>
      <c r="I104">
        <f t="shared" si="99"/>
        <v>0.20316535433070698</v>
      </c>
      <c r="J104">
        <f t="shared" si="101"/>
        <v>0.13544356955380465</v>
      </c>
      <c r="K104">
        <f t="shared" si="70"/>
        <v>3.1892158731207285</v>
      </c>
      <c r="L104">
        <f t="shared" si="76"/>
        <v>8.2887518893781639E-2</v>
      </c>
      <c r="M104">
        <f t="shared" si="37"/>
        <v>1.4898808642008949</v>
      </c>
      <c r="N104">
        <f t="shared" si="72"/>
        <v>4.255520931702744</v>
      </c>
      <c r="O104">
        <f t="shared" si="113"/>
        <v>16.546909582932837</v>
      </c>
      <c r="P104">
        <f t="shared" si="114"/>
        <v>0.20425808879526894</v>
      </c>
      <c r="Q104">
        <f t="shared" si="115"/>
        <v>0.9205650690900512</v>
      </c>
      <c r="R104" s="131"/>
    </row>
    <row r="105" spans="3:36">
      <c r="C105" s="130">
        <f t="shared" ref="C105:D105" si="117">C104</f>
        <v>45058</v>
      </c>
      <c r="D105" s="81">
        <f t="shared" si="117"/>
        <v>0.37222222222222223</v>
      </c>
      <c r="E105" s="4">
        <v>1.5</v>
      </c>
      <c r="F105" s="4">
        <v>0.5</v>
      </c>
      <c r="G105" s="93">
        <v>41.8</v>
      </c>
      <c r="H105" s="93">
        <f>offset+2.79</f>
        <v>8.74</v>
      </c>
      <c r="I105" s="4">
        <f t="shared" si="99"/>
        <v>0.55749606299212373</v>
      </c>
      <c r="J105" s="4">
        <f t="shared" si="101"/>
        <v>0.37166404199474917</v>
      </c>
      <c r="K105" s="88">
        <f t="shared" si="70"/>
        <v>3.1892158731207285</v>
      </c>
      <c r="L105" s="4">
        <f t="shared" si="76"/>
        <v>8.2887518893781639E-2</v>
      </c>
      <c r="M105" s="4">
        <f t="shared" si="37"/>
        <v>1.4898808642008949</v>
      </c>
      <c r="N105" s="4">
        <f t="shared" si="72"/>
        <v>5.4605209317027459</v>
      </c>
      <c r="O105" s="4">
        <f t="shared" si="113"/>
        <v>18.743796753746416</v>
      </c>
      <c r="P105" s="4">
        <f t="shared" si="114"/>
        <v>0.56049458192708679</v>
      </c>
      <c r="Q105" s="4">
        <f t="shared" si="115"/>
        <v>1.0427859333576008</v>
      </c>
      <c r="R105" s="141"/>
      <c r="U105" s="75"/>
    </row>
    <row r="106" spans="3:36">
      <c r="C106" s="133">
        <v>45055</v>
      </c>
      <c r="D106" s="102">
        <v>0.62847222222222221</v>
      </c>
      <c r="E106" s="13">
        <v>3</v>
      </c>
      <c r="F106" s="13">
        <v>0</v>
      </c>
      <c r="G106" s="112">
        <v>40.590000000000003</v>
      </c>
      <c r="H106" s="112">
        <f>offset+1.64</f>
        <v>7.59</v>
      </c>
      <c r="I106" s="3">
        <f t="shared" ref="I106:I137" si="118">(G106-$G$106)/2.54+$H$3/2</f>
        <v>2.5999999999999999E-2</v>
      </c>
      <c r="J106" s="3">
        <f t="shared" si="101"/>
        <v>8.6666666666666663E-3</v>
      </c>
      <c r="K106" s="13">
        <f t="shared" ref="K106:K137" si="119">$H$4-F106*SIN(theta)/12</f>
        <v>3.2</v>
      </c>
      <c r="L106" s="20">
        <v>0.25924961902132393</v>
      </c>
      <c r="M106" s="20">
        <f>12.8562921838395/2</f>
        <v>6.4281460919197499</v>
      </c>
      <c r="N106" s="13">
        <f t="shared" ref="N106:N137" si="120">H106-$H$7-(K106+L106*COS(theta))</f>
        <v>4.1293840975317009</v>
      </c>
      <c r="O106" s="13">
        <f t="shared" si="30"/>
        <v>16.299833521701675</v>
      </c>
      <c r="P106" s="13">
        <f t="shared" si="46"/>
        <v>8.3574536188169013E-3</v>
      </c>
      <c r="Q106" s="13">
        <f t="shared" si="47"/>
        <v>0.6573785925500274</v>
      </c>
      <c r="R106" s="13"/>
      <c r="AJ106" s="1" t="s">
        <v>203</v>
      </c>
    </row>
    <row r="107" spans="3:36">
      <c r="C107" s="133">
        <v>45055</v>
      </c>
      <c r="D107" s="102">
        <v>0.62847222222222221</v>
      </c>
      <c r="E107" s="13">
        <v>3</v>
      </c>
      <c r="F107" s="13">
        <v>0</v>
      </c>
      <c r="G107" s="112">
        <v>40.700000000000003</v>
      </c>
      <c r="H107" s="112">
        <f>offset+2.72</f>
        <v>8.67</v>
      </c>
      <c r="I107" s="13">
        <f t="shared" si="118"/>
        <v>6.9307086614173008E-2</v>
      </c>
      <c r="J107" s="13">
        <f t="shared" si="101"/>
        <v>2.3102362204724336E-2</v>
      </c>
      <c r="K107" s="13">
        <f t="shared" si="119"/>
        <v>3.2</v>
      </c>
      <c r="L107" s="13">
        <f t="shared" ref="L107" si="121">L106</f>
        <v>0.25924961902132393</v>
      </c>
      <c r="M107" s="13">
        <f t="shared" si="37"/>
        <v>6.4281460919197499</v>
      </c>
      <c r="N107" s="13">
        <f t="shared" si="120"/>
        <v>5.2093840975317018</v>
      </c>
      <c r="O107" s="13">
        <f t="shared" si="30"/>
        <v>18.307697092621719</v>
      </c>
      <c r="P107" s="13">
        <f t="shared" si="46"/>
        <v>2.2278106224356792E-2</v>
      </c>
      <c r="Q107" s="13">
        <f t="shared" si="47"/>
        <v>0.73835650723403534</v>
      </c>
      <c r="R107" s="13"/>
    </row>
    <row r="108" spans="3:36">
      <c r="C108" s="133">
        <v>45055</v>
      </c>
      <c r="D108" s="102">
        <v>0.62847222222222221</v>
      </c>
      <c r="E108" s="13">
        <v>3</v>
      </c>
      <c r="F108" s="13">
        <v>0</v>
      </c>
      <c r="G108" s="112">
        <v>41</v>
      </c>
      <c r="H108" s="112">
        <f>offset+4.03</f>
        <v>9.98</v>
      </c>
      <c r="I108" s="13">
        <f t="shared" si="118"/>
        <v>0.18741732283464432</v>
      </c>
      <c r="J108" s="13">
        <f t="shared" si="101"/>
        <v>6.2472440944881441E-2</v>
      </c>
      <c r="K108" s="13">
        <f t="shared" si="119"/>
        <v>3.2</v>
      </c>
      <c r="L108" s="13">
        <f t="shared" ref="L108" si="122">L107</f>
        <v>0.25924961902132393</v>
      </c>
      <c r="M108" s="13">
        <f t="shared" si="37"/>
        <v>6.4281460919197499</v>
      </c>
      <c r="N108" s="13">
        <f t="shared" si="120"/>
        <v>6.5193840975317023</v>
      </c>
      <c r="O108" s="13">
        <f t="shared" si="30"/>
        <v>20.480653623241366</v>
      </c>
      <c r="P108" s="13">
        <f t="shared" si="46"/>
        <v>6.0243522421283606E-2</v>
      </c>
      <c r="Q108" s="13">
        <f t="shared" si="47"/>
        <v>0.82599268485936395</v>
      </c>
      <c r="R108" s="13"/>
    </row>
    <row r="109" spans="3:36">
      <c r="C109" s="133">
        <v>45055</v>
      </c>
      <c r="D109" s="102">
        <v>0.62847222222222221</v>
      </c>
      <c r="E109" s="13">
        <v>3</v>
      </c>
      <c r="F109" s="13">
        <v>0</v>
      </c>
      <c r="G109" s="112">
        <v>42</v>
      </c>
      <c r="H109" s="112">
        <f>offset+5.68</f>
        <v>11.629999999999999</v>
      </c>
      <c r="I109" s="13">
        <f t="shared" si="118"/>
        <v>0.58111811023621918</v>
      </c>
      <c r="J109" s="13">
        <f t="shared" si="101"/>
        <v>0.1937060367454064</v>
      </c>
      <c r="K109" s="13">
        <f t="shared" si="119"/>
        <v>3.2</v>
      </c>
      <c r="L109" s="13">
        <f t="shared" ref="L109" si="123">L108</f>
        <v>0.25924961902132393</v>
      </c>
      <c r="M109" s="13">
        <f t="shared" si="37"/>
        <v>6.4281460919197499</v>
      </c>
      <c r="N109" s="13">
        <f t="shared" si="120"/>
        <v>8.1693840975317009</v>
      </c>
      <c r="O109" s="13">
        <f t="shared" si="30"/>
        <v>22.926364143387186</v>
      </c>
      <c r="P109" s="13">
        <f t="shared" si="46"/>
        <v>0.18679490974437421</v>
      </c>
      <c r="Q109" s="13">
        <f t="shared" si="47"/>
        <v>0.92462913641438615</v>
      </c>
      <c r="R109" s="13"/>
    </row>
    <row r="110" spans="3:36">
      <c r="C110" s="134">
        <v>45055</v>
      </c>
      <c r="D110" s="135">
        <v>0.62847222222222221</v>
      </c>
      <c r="E110" s="136">
        <v>3</v>
      </c>
      <c r="F110" s="136">
        <v>0</v>
      </c>
      <c r="G110" s="137">
        <v>46.5</v>
      </c>
      <c r="H110" s="137">
        <f>offset+8.45</f>
        <v>14.399999999999999</v>
      </c>
      <c r="I110" s="136">
        <f t="shared" si="118"/>
        <v>2.3527716535433054</v>
      </c>
      <c r="J110" s="136">
        <f t="shared" si="101"/>
        <v>0.78425721784776847</v>
      </c>
      <c r="K110" s="138">
        <f t="shared" si="119"/>
        <v>3.2</v>
      </c>
      <c r="L110" s="136">
        <f t="shared" ref="L110" si="124">L109</f>
        <v>0.25924961902132393</v>
      </c>
      <c r="M110" s="136">
        <f t="shared" si="37"/>
        <v>6.4281460919197499</v>
      </c>
      <c r="N110" s="136">
        <f t="shared" si="120"/>
        <v>10.9393840975317</v>
      </c>
      <c r="O110" s="136">
        <f t="shared" si="30"/>
        <v>26.529982526100344</v>
      </c>
      <c r="P110" s="136">
        <f t="shared" si="46"/>
        <v>0.75627615269828163</v>
      </c>
      <c r="Q110" s="136">
        <f t="shared" si="47"/>
        <v>1.0699644600765181</v>
      </c>
      <c r="R110" s="140"/>
    </row>
    <row r="111" spans="3:36">
      <c r="C111" s="129">
        <v>45055</v>
      </c>
      <c r="D111" s="64">
        <v>0.62847222222222221</v>
      </c>
      <c r="E111">
        <v>3</v>
      </c>
      <c r="F111">
        <v>0.75</v>
      </c>
      <c r="G111" s="11">
        <v>40.590000000000003</v>
      </c>
      <c r="H111" s="11">
        <f>offset+0.83</f>
        <v>6.78</v>
      </c>
      <c r="I111">
        <f t="shared" si="118"/>
        <v>2.5999999999999999E-2</v>
      </c>
      <c r="J111">
        <f t="shared" si="101"/>
        <v>8.6666666666666663E-3</v>
      </c>
      <c r="K111">
        <f t="shared" si="119"/>
        <v>3.1838238096810927</v>
      </c>
      <c r="L111">
        <f t="shared" ref="L111" si="125">L110</f>
        <v>0.25924961902132393</v>
      </c>
      <c r="M111">
        <f t="shared" si="37"/>
        <v>6.4281460919197499</v>
      </c>
      <c r="N111">
        <f t="shared" si="120"/>
        <v>3.3355602878506088</v>
      </c>
      <c r="O111">
        <f t="shared" si="30"/>
        <v>14.649571629242548</v>
      </c>
      <c r="P111">
        <f t="shared" ref="P111:P119" si="126">I111/12/L111</f>
        <v>8.3574536188169013E-3</v>
      </c>
      <c r="Q111">
        <f t="shared" ref="Q111:Q119" si="127">O111/(M111/L111)</f>
        <v>0.59082289191913717</v>
      </c>
      <c r="R111" s="141">
        <f>(M111/L111)*F111/12/0.0000106</f>
        <v>146198.1118056924</v>
      </c>
      <c r="S111">
        <v>0.03</v>
      </c>
      <c r="T111">
        <f>S111*L111*12</f>
        <v>9.3329862847676609E-2</v>
      </c>
      <c r="U111" s="75">
        <f>O111/O$106-1</f>
        <v>-0.10124409493274644</v>
      </c>
    </row>
    <row r="112" spans="3:36">
      <c r="C112" s="129">
        <v>45055</v>
      </c>
      <c r="D112" s="64">
        <v>0.62847222222222221</v>
      </c>
      <c r="E112">
        <v>3</v>
      </c>
      <c r="F112">
        <v>0.75</v>
      </c>
      <c r="G112" s="11">
        <v>40.619999999999997</v>
      </c>
      <c r="H112" s="11">
        <f>offset+1.22</f>
        <v>7.17</v>
      </c>
      <c r="I112">
        <f t="shared" si="118"/>
        <v>3.7811023622044894E-2</v>
      </c>
      <c r="J112">
        <f t="shared" si="101"/>
        <v>1.2603674540681632E-2</v>
      </c>
      <c r="K112">
        <f t="shared" si="119"/>
        <v>3.1838238096810927</v>
      </c>
      <c r="L112">
        <f t="shared" ref="L112" si="128">L111</f>
        <v>0.25924961902132393</v>
      </c>
      <c r="M112">
        <f t="shared" si="37"/>
        <v>6.4281460919197499</v>
      </c>
      <c r="N112">
        <f t="shared" si="120"/>
        <v>3.7255602878506084</v>
      </c>
      <c r="O112">
        <f t="shared" si="30"/>
        <v>15.482330216098227</v>
      </c>
      <c r="P112">
        <f t="shared" si="126"/>
        <v>1.2153995238508864E-2</v>
      </c>
      <c r="Q112">
        <f t="shared" si="127"/>
        <v>0.62440836793226784</v>
      </c>
    </row>
    <row r="113" spans="3:21">
      <c r="C113" s="129">
        <v>45055</v>
      </c>
      <c r="D113" s="64">
        <v>0.62847222222222221</v>
      </c>
      <c r="E113">
        <v>3</v>
      </c>
      <c r="F113">
        <v>0.75</v>
      </c>
      <c r="G113" s="11">
        <v>40.659999999999997</v>
      </c>
      <c r="H113" s="11">
        <f>offset+1.67</f>
        <v>7.62</v>
      </c>
      <c r="I113">
        <f t="shared" si="118"/>
        <v>5.3559055118107546E-2</v>
      </c>
      <c r="J113">
        <f t="shared" si="101"/>
        <v>1.7853018372702516E-2</v>
      </c>
      <c r="K113">
        <f t="shared" si="119"/>
        <v>3.1838238096810927</v>
      </c>
      <c r="L113">
        <f t="shared" ref="L113" si="129">L112</f>
        <v>0.25924961902132393</v>
      </c>
      <c r="M113">
        <f t="shared" si="37"/>
        <v>6.4281460919197499</v>
      </c>
      <c r="N113">
        <f t="shared" si="120"/>
        <v>4.1755602878506082</v>
      </c>
      <c r="O113">
        <f t="shared" si="30"/>
        <v>16.390715326681388</v>
      </c>
      <c r="P113">
        <f t="shared" si="126"/>
        <v>1.7216050731432377E-2</v>
      </c>
      <c r="Q113">
        <f t="shared" si="127"/>
        <v>0.66104389090822391</v>
      </c>
    </row>
    <row r="114" spans="3:21">
      <c r="C114" s="129">
        <v>45055</v>
      </c>
      <c r="D114" s="64">
        <v>0.62847222222222221</v>
      </c>
      <c r="E114">
        <v>3</v>
      </c>
      <c r="F114">
        <v>0.75</v>
      </c>
      <c r="G114" s="11">
        <v>40.700000000000003</v>
      </c>
      <c r="H114" s="11">
        <f>offset+2.32</f>
        <v>8.27</v>
      </c>
      <c r="I114">
        <f t="shared" si="118"/>
        <v>6.9307086614173008E-2</v>
      </c>
      <c r="J114">
        <f t="shared" si="101"/>
        <v>2.3102362204724336E-2</v>
      </c>
      <c r="K114">
        <f t="shared" si="119"/>
        <v>3.1838238096810927</v>
      </c>
      <c r="L114">
        <f t="shared" ref="L114" si="130">L113</f>
        <v>0.25924961902132393</v>
      </c>
      <c r="M114">
        <f t="shared" si="37"/>
        <v>6.4281460919197499</v>
      </c>
      <c r="N114">
        <f t="shared" si="120"/>
        <v>4.8255602878506085</v>
      </c>
      <c r="O114">
        <f t="shared" si="30"/>
        <v>17.62034474464981</v>
      </c>
      <c r="P114">
        <f t="shared" si="126"/>
        <v>2.2278106224356792E-2</v>
      </c>
      <c r="Q114">
        <f t="shared" si="127"/>
        <v>0.71063532109467176</v>
      </c>
    </row>
    <row r="115" spans="3:21">
      <c r="C115" s="129">
        <v>45055</v>
      </c>
      <c r="D115" s="64">
        <v>0.62847222222222221</v>
      </c>
      <c r="E115">
        <v>3</v>
      </c>
      <c r="F115">
        <v>0.75</v>
      </c>
      <c r="G115" s="11">
        <v>40.75</v>
      </c>
      <c r="H115" s="11">
        <f>offset+2.725</f>
        <v>8.6750000000000007</v>
      </c>
      <c r="I115">
        <f t="shared" si="118"/>
        <v>8.8992125984250617E-2</v>
      </c>
      <c r="J115">
        <f t="shared" si="101"/>
        <v>2.9664041994750204E-2</v>
      </c>
      <c r="K115">
        <f t="shared" si="119"/>
        <v>3.1838238096810927</v>
      </c>
      <c r="L115">
        <f t="shared" ref="L115" si="131">L114</f>
        <v>0.25924961902132393</v>
      </c>
      <c r="M115">
        <f t="shared" si="37"/>
        <v>6.4281460919197499</v>
      </c>
      <c r="N115">
        <f t="shared" si="120"/>
        <v>5.2305602878506097</v>
      </c>
      <c r="O115">
        <f t="shared" si="30"/>
        <v>18.344869825657206</v>
      </c>
      <c r="P115">
        <f t="shared" si="126"/>
        <v>2.8605675590510957E-2</v>
      </c>
      <c r="Q115">
        <f t="shared" si="127"/>
        <v>0.73985569793997541</v>
      </c>
    </row>
    <row r="116" spans="3:21">
      <c r="C116" s="129">
        <v>45055</v>
      </c>
      <c r="D116" s="64">
        <v>0.62847222222222221</v>
      </c>
      <c r="E116">
        <v>3</v>
      </c>
      <c r="F116">
        <v>0.75</v>
      </c>
      <c r="G116" s="11">
        <v>40.799999999999997</v>
      </c>
      <c r="H116" s="11">
        <f>offset+3.065</f>
        <v>9.0150000000000006</v>
      </c>
      <c r="I116">
        <f t="shared" si="118"/>
        <v>0.10867716535432824</v>
      </c>
      <c r="J116">
        <f t="shared" si="101"/>
        <v>3.622572178477608E-2</v>
      </c>
      <c r="K116">
        <f t="shared" si="119"/>
        <v>3.1838238096810927</v>
      </c>
      <c r="L116">
        <f t="shared" ref="L116" si="132">L115</f>
        <v>0.25924961902132393</v>
      </c>
      <c r="M116">
        <f t="shared" si="37"/>
        <v>6.4281460919197499</v>
      </c>
      <c r="N116">
        <f t="shared" si="120"/>
        <v>5.5705602878506095</v>
      </c>
      <c r="O116">
        <f t="shared" si="30"/>
        <v>18.93171542465997</v>
      </c>
      <c r="P116">
        <f t="shared" si="126"/>
        <v>3.4933244956665131E-2</v>
      </c>
      <c r="Q116">
        <f t="shared" si="127"/>
        <v>0.76352340800603136</v>
      </c>
    </row>
    <row r="117" spans="3:21">
      <c r="C117" s="129">
        <v>45055</v>
      </c>
      <c r="D117" s="64">
        <v>0.62847222222222221</v>
      </c>
      <c r="E117">
        <v>3</v>
      </c>
      <c r="F117">
        <v>0.75</v>
      </c>
      <c r="G117" s="11">
        <v>41</v>
      </c>
      <c r="H117" s="11">
        <f>offset+3.815</f>
        <v>9.7650000000000006</v>
      </c>
      <c r="I117">
        <f t="shared" si="118"/>
        <v>0.18741732283464432</v>
      </c>
      <c r="J117">
        <f t="shared" si="101"/>
        <v>6.2472440944881441E-2</v>
      </c>
      <c r="K117">
        <f t="shared" si="119"/>
        <v>3.1838238096810927</v>
      </c>
      <c r="L117">
        <f t="shared" ref="L117" si="133">L116</f>
        <v>0.25924961902132393</v>
      </c>
      <c r="M117">
        <f t="shared" si="37"/>
        <v>6.4281460919197499</v>
      </c>
      <c r="N117">
        <f t="shared" si="120"/>
        <v>6.3205602878506095</v>
      </c>
      <c r="O117">
        <f t="shared" si="30"/>
        <v>20.165932879991153</v>
      </c>
      <c r="P117">
        <f t="shared" si="126"/>
        <v>6.0243522421283606E-2</v>
      </c>
      <c r="Q117">
        <f t="shared" si="127"/>
        <v>0.81329987551449134</v>
      </c>
    </row>
    <row r="118" spans="3:21">
      <c r="C118" s="129">
        <v>45055</v>
      </c>
      <c r="D118" s="64">
        <v>0.62847222222222221</v>
      </c>
      <c r="E118">
        <v>3</v>
      </c>
      <c r="F118">
        <v>0.75</v>
      </c>
      <c r="G118" s="11">
        <v>42</v>
      </c>
      <c r="H118" s="11">
        <f>offset+5.59</f>
        <v>11.54</v>
      </c>
      <c r="I118">
        <f t="shared" si="118"/>
        <v>0.58111811023621918</v>
      </c>
      <c r="J118">
        <f t="shared" si="101"/>
        <v>0.1937060367454064</v>
      </c>
      <c r="K118">
        <f t="shared" si="119"/>
        <v>3.1838238096810927</v>
      </c>
      <c r="L118">
        <f t="shared" ref="L118" si="134">L117</f>
        <v>0.25924961902132393</v>
      </c>
      <c r="M118">
        <f t="shared" si="37"/>
        <v>6.4281460919197499</v>
      </c>
      <c r="N118">
        <f t="shared" si="120"/>
        <v>8.0955602878506081</v>
      </c>
      <c r="O118">
        <f t="shared" si="30"/>
        <v>22.822540369562457</v>
      </c>
      <c r="P118">
        <f t="shared" si="126"/>
        <v>0.18679490974437421</v>
      </c>
      <c r="Q118">
        <f t="shared" si="127"/>
        <v>0.92044188344525235</v>
      </c>
    </row>
    <row r="119" spans="3:21">
      <c r="C119" s="130">
        <v>45055</v>
      </c>
      <c r="D119" s="81">
        <v>0.62847222222222221</v>
      </c>
      <c r="E119" s="4">
        <v>3</v>
      </c>
      <c r="F119" s="4">
        <v>0.75</v>
      </c>
      <c r="G119" s="93">
        <v>46.5</v>
      </c>
      <c r="H119" s="93">
        <f>offset+8.41</f>
        <v>14.36</v>
      </c>
      <c r="I119" s="4">
        <f t="shared" si="118"/>
        <v>2.3527716535433054</v>
      </c>
      <c r="J119" s="4">
        <f t="shared" si="101"/>
        <v>0.78425721784776847</v>
      </c>
      <c r="K119" s="4">
        <f t="shared" si="119"/>
        <v>3.1838238096810927</v>
      </c>
      <c r="L119" s="4">
        <f t="shared" ref="L119:L127" si="135">L118</f>
        <v>0.25924961902132393</v>
      </c>
      <c r="M119" s="4">
        <f t="shared" si="37"/>
        <v>6.4281460919197499</v>
      </c>
      <c r="N119" s="4">
        <f t="shared" si="120"/>
        <v>10.915560287850608</v>
      </c>
      <c r="O119" s="4">
        <f t="shared" si="30"/>
        <v>26.501078259578577</v>
      </c>
      <c r="P119" s="4">
        <f t="shared" si="126"/>
        <v>0.75627615269828163</v>
      </c>
      <c r="Q119" s="4">
        <f t="shared" si="127"/>
        <v>1.0687987398242547</v>
      </c>
      <c r="R119" s="131"/>
    </row>
    <row r="120" spans="3:21">
      <c r="C120" s="129">
        <v>45056</v>
      </c>
      <c r="D120" s="64">
        <v>0.6875</v>
      </c>
      <c r="E120" s="142">
        <v>3</v>
      </c>
      <c r="F120" s="142">
        <v>1.5</v>
      </c>
      <c r="G120" s="143">
        <v>40.590000000000003</v>
      </c>
      <c r="H120" s="11">
        <f>offset+0.55</f>
        <v>6.5</v>
      </c>
      <c r="I120" s="142">
        <f t="shared" si="118"/>
        <v>2.5999999999999999E-2</v>
      </c>
      <c r="J120" s="142">
        <f t="shared" si="101"/>
        <v>8.6666666666666663E-3</v>
      </c>
      <c r="K120">
        <f t="shared" si="119"/>
        <v>3.1676476193621852</v>
      </c>
      <c r="L120">
        <f t="shared" si="135"/>
        <v>0.25924961902132393</v>
      </c>
      <c r="M120">
        <f t="shared" si="37"/>
        <v>6.4281460919197499</v>
      </c>
      <c r="N120">
        <f t="shared" si="120"/>
        <v>3.071736478169516</v>
      </c>
      <c r="O120">
        <f t="shared" ref="O120:O127" si="136">SQRT(2*32.17*N120)</f>
        <v>14.058290258969143</v>
      </c>
      <c r="P120">
        <f t="shared" ref="P120:P127" si="137">I120/12/L120</f>
        <v>8.3574536188169013E-3</v>
      </c>
      <c r="Q120">
        <f t="shared" ref="Q120:Q127" si="138">O120/(M120/L120)</f>
        <v>0.56697628548147805</v>
      </c>
      <c r="R120" s="141">
        <f>(M120/L120)*F120/12/0.0000106</f>
        <v>292396.2236113848</v>
      </c>
      <c r="S120">
        <v>0.05</v>
      </c>
      <c r="T120">
        <f>S120*L120*12</f>
        <v>0.15554977141279436</v>
      </c>
      <c r="U120" s="75">
        <f>O120/O$106-1</f>
        <v>-0.13751939611825681</v>
      </c>
    </row>
    <row r="121" spans="3:21">
      <c r="C121" s="129">
        <v>45056</v>
      </c>
      <c r="D121" s="64">
        <v>0.6875</v>
      </c>
      <c r="E121" s="142">
        <v>3</v>
      </c>
      <c r="F121" s="142">
        <v>1.5</v>
      </c>
      <c r="G121" s="143">
        <v>40.619999999999997</v>
      </c>
      <c r="H121" s="11">
        <f>offset+0.85</f>
        <v>6.8</v>
      </c>
      <c r="I121" s="142">
        <f t="shared" si="118"/>
        <v>3.7811023622044894E-2</v>
      </c>
      <c r="J121" s="142">
        <f t="shared" si="101"/>
        <v>1.2603674540681632E-2</v>
      </c>
      <c r="K121">
        <f t="shared" si="119"/>
        <v>3.1676476193621852</v>
      </c>
      <c r="L121">
        <f t="shared" si="135"/>
        <v>0.25924961902132393</v>
      </c>
      <c r="M121">
        <f t="shared" si="37"/>
        <v>6.4281460919197499</v>
      </c>
      <c r="N121">
        <f t="shared" si="120"/>
        <v>3.3717364781695158</v>
      </c>
      <c r="O121">
        <f t="shared" si="136"/>
        <v>14.728799170517149</v>
      </c>
      <c r="P121">
        <f t="shared" si="137"/>
        <v>1.2153995238508864E-2</v>
      </c>
      <c r="Q121">
        <f t="shared" si="138"/>
        <v>0.59401816931291873</v>
      </c>
    </row>
    <row r="122" spans="3:21">
      <c r="C122" s="129">
        <v>45056</v>
      </c>
      <c r="D122" s="64">
        <v>0.6875</v>
      </c>
      <c r="E122" s="142">
        <v>3</v>
      </c>
      <c r="F122" s="142">
        <v>1.5</v>
      </c>
      <c r="G122" s="143">
        <v>40.65</v>
      </c>
      <c r="H122" s="11">
        <f>offset+1.16</f>
        <v>7.11</v>
      </c>
      <c r="I122" s="142">
        <f t="shared" si="118"/>
        <v>4.9622047244092582E-2</v>
      </c>
      <c r="J122" s="142">
        <f t="shared" si="101"/>
        <v>1.6540682414697527E-2</v>
      </c>
      <c r="K122">
        <f t="shared" si="119"/>
        <v>3.1676476193621852</v>
      </c>
      <c r="L122">
        <f t="shared" si="135"/>
        <v>0.25924961902132393</v>
      </c>
      <c r="M122">
        <f t="shared" si="37"/>
        <v>6.4281460919197499</v>
      </c>
      <c r="N122">
        <f t="shared" si="120"/>
        <v>3.6817364781695163</v>
      </c>
      <c r="O122">
        <f t="shared" si="136"/>
        <v>15.391001429583024</v>
      </c>
      <c r="P122">
        <f t="shared" si="137"/>
        <v>1.5950536858201723E-2</v>
      </c>
      <c r="Q122">
        <f t="shared" si="138"/>
        <v>0.62072504263580208</v>
      </c>
    </row>
    <row r="123" spans="3:21">
      <c r="C123" s="129">
        <v>45056</v>
      </c>
      <c r="D123" s="64">
        <v>0.6875</v>
      </c>
      <c r="E123" s="142">
        <v>3</v>
      </c>
      <c r="F123" s="142">
        <v>1.5</v>
      </c>
      <c r="G123" s="143">
        <v>40.75</v>
      </c>
      <c r="H123" s="11">
        <f>offset+2.17</f>
        <v>8.120000000000001</v>
      </c>
      <c r="I123" s="142">
        <f t="shared" si="118"/>
        <v>8.8992125984250617E-2</v>
      </c>
      <c r="J123" s="142">
        <f t="shared" si="101"/>
        <v>2.9664041994750204E-2</v>
      </c>
      <c r="K123">
        <f t="shared" si="119"/>
        <v>3.1676476193621852</v>
      </c>
      <c r="L123">
        <f t="shared" si="135"/>
        <v>0.25924961902132393</v>
      </c>
      <c r="M123">
        <f t="shared" si="37"/>
        <v>6.4281460919197499</v>
      </c>
      <c r="N123">
        <f t="shared" si="120"/>
        <v>4.6917364781695179</v>
      </c>
      <c r="O123">
        <f t="shared" si="136"/>
        <v>17.374300705508318</v>
      </c>
      <c r="P123">
        <f t="shared" si="137"/>
        <v>2.8605675590510957E-2</v>
      </c>
      <c r="Q123">
        <f t="shared" si="138"/>
        <v>0.70071226979842316</v>
      </c>
    </row>
    <row r="124" spans="3:21">
      <c r="C124" s="129">
        <v>45056</v>
      </c>
      <c r="D124" s="64">
        <v>0.6875</v>
      </c>
      <c r="E124" s="142">
        <v>3</v>
      </c>
      <c r="F124" s="142">
        <v>1.5</v>
      </c>
      <c r="G124" s="143">
        <v>40.9</v>
      </c>
      <c r="H124" s="11">
        <f>offset+3.365</f>
        <v>9.3150000000000013</v>
      </c>
      <c r="I124" s="142">
        <f t="shared" si="118"/>
        <v>0.14804724409448627</v>
      </c>
      <c r="J124" s="142">
        <f t="shared" si="101"/>
        <v>4.934908136482876E-2</v>
      </c>
      <c r="K124">
        <f t="shared" si="119"/>
        <v>3.1676476193621852</v>
      </c>
      <c r="L124">
        <f t="shared" si="135"/>
        <v>0.25924961902132393</v>
      </c>
      <c r="M124">
        <f t="shared" si="37"/>
        <v>6.4281460919197499</v>
      </c>
      <c r="N124">
        <f t="shared" si="120"/>
        <v>5.8867364781695182</v>
      </c>
      <c r="O124">
        <f t="shared" si="136"/>
        <v>19.461567896894298</v>
      </c>
      <c r="P124">
        <f t="shared" si="137"/>
        <v>4.7588383688974369E-2</v>
      </c>
      <c r="Q124">
        <f t="shared" si="138"/>
        <v>0.7848925632181265</v>
      </c>
    </row>
    <row r="125" spans="3:21">
      <c r="C125" s="129">
        <v>45056</v>
      </c>
      <c r="D125" s="64">
        <v>0.6875</v>
      </c>
      <c r="E125" s="142">
        <v>3</v>
      </c>
      <c r="F125" s="142">
        <v>1.5</v>
      </c>
      <c r="G125" s="143">
        <v>41</v>
      </c>
      <c r="H125" s="11">
        <f>offset+3.87</f>
        <v>9.82</v>
      </c>
      <c r="I125" s="142">
        <f t="shared" si="118"/>
        <v>0.18741732283464432</v>
      </c>
      <c r="J125" s="142">
        <f t="shared" si="101"/>
        <v>6.2472440944881441E-2</v>
      </c>
      <c r="K125">
        <f t="shared" si="119"/>
        <v>3.1676476193621852</v>
      </c>
      <c r="L125">
        <f t="shared" si="135"/>
        <v>0.25924961902132393</v>
      </c>
      <c r="M125">
        <f t="shared" si="37"/>
        <v>6.4281460919197499</v>
      </c>
      <c r="N125">
        <f t="shared" si="120"/>
        <v>6.3917364781695172</v>
      </c>
      <c r="O125">
        <f t="shared" si="136"/>
        <v>20.279159869319702</v>
      </c>
      <c r="P125">
        <f t="shared" si="137"/>
        <v>6.0243522421283606E-2</v>
      </c>
      <c r="Q125">
        <f t="shared" si="138"/>
        <v>0.81786636380312183</v>
      </c>
    </row>
    <row r="126" spans="3:21">
      <c r="C126" s="129">
        <v>45056</v>
      </c>
      <c r="D126" s="64">
        <v>0.6875</v>
      </c>
      <c r="E126" s="142">
        <v>3</v>
      </c>
      <c r="F126" s="142">
        <v>1.5</v>
      </c>
      <c r="G126" s="143">
        <v>43</v>
      </c>
      <c r="H126" s="11">
        <f>offset+6.62</f>
        <v>12.57</v>
      </c>
      <c r="I126" s="142">
        <f t="shared" si="118"/>
        <v>0.97481889763779395</v>
      </c>
      <c r="J126" s="142">
        <f t="shared" si="101"/>
        <v>0.32493963254593133</v>
      </c>
      <c r="K126">
        <f t="shared" si="119"/>
        <v>3.1676476193621852</v>
      </c>
      <c r="L126">
        <f t="shared" si="135"/>
        <v>0.25924961902132393</v>
      </c>
      <c r="M126">
        <f t="shared" si="37"/>
        <v>6.4281460919197499</v>
      </c>
      <c r="N126">
        <f t="shared" si="120"/>
        <v>9.1417364781695163</v>
      </c>
      <c r="O126">
        <f t="shared" si="136"/>
        <v>24.252408643378633</v>
      </c>
      <c r="P126">
        <f t="shared" si="137"/>
        <v>0.31334629706746475</v>
      </c>
      <c r="Q126">
        <f t="shared" si="138"/>
        <v>0.97810902416308487</v>
      </c>
    </row>
    <row r="127" spans="3:21">
      <c r="C127" s="130">
        <v>45056</v>
      </c>
      <c r="D127" s="81">
        <v>0.6875</v>
      </c>
      <c r="E127" s="144">
        <v>3</v>
      </c>
      <c r="F127" s="144">
        <v>1.5</v>
      </c>
      <c r="G127" s="145">
        <v>46.5</v>
      </c>
      <c r="H127" s="93">
        <f>offset+8.5</f>
        <v>14.45</v>
      </c>
      <c r="I127" s="144">
        <f t="shared" si="118"/>
        <v>2.3527716535433054</v>
      </c>
      <c r="J127" s="144">
        <f t="shared" si="101"/>
        <v>0.78425721784776847</v>
      </c>
      <c r="K127" s="4">
        <f t="shared" si="119"/>
        <v>3.1676476193621852</v>
      </c>
      <c r="L127" s="4">
        <f t="shared" si="135"/>
        <v>0.25924961902132393</v>
      </c>
      <c r="M127" s="4">
        <f t="shared" si="37"/>
        <v>6.4281460919197499</v>
      </c>
      <c r="N127" s="4">
        <f t="shared" si="120"/>
        <v>11.021736478169515</v>
      </c>
      <c r="O127" s="4">
        <f t="shared" si="136"/>
        <v>26.629654992234254</v>
      </c>
      <c r="P127" s="4">
        <f t="shared" si="137"/>
        <v>0.75627615269828163</v>
      </c>
      <c r="Q127" s="4">
        <f t="shared" si="138"/>
        <v>1.0739842892002858</v>
      </c>
    </row>
    <row r="128" spans="3:21">
      <c r="C128" s="129">
        <v>45055</v>
      </c>
      <c r="D128" s="64">
        <v>0.62847222222222221</v>
      </c>
      <c r="E128">
        <v>3</v>
      </c>
      <c r="F128">
        <v>2.5</v>
      </c>
      <c r="G128" s="11">
        <v>40.590000000000003</v>
      </c>
      <c r="H128" s="11">
        <f>offset+0.63</f>
        <v>6.58</v>
      </c>
      <c r="I128">
        <f t="shared" si="118"/>
        <v>2.5999999999999999E-2</v>
      </c>
      <c r="J128">
        <f t="shared" si="101"/>
        <v>8.6666666666666663E-3</v>
      </c>
      <c r="K128">
        <f t="shared" si="119"/>
        <v>3.1460793656036419</v>
      </c>
      <c r="L128">
        <f>L119</f>
        <v>0.25924961902132393</v>
      </c>
      <c r="M128">
        <f>M119</f>
        <v>6.4281460919197499</v>
      </c>
      <c r="N128">
        <f t="shared" si="120"/>
        <v>3.1733047319280594</v>
      </c>
      <c r="O128">
        <f t="shared" ref="O128:O148" si="139">SQRT(2*32.17*N128)</f>
        <v>14.288821730718434</v>
      </c>
      <c r="P128">
        <f t="shared" ref="P128:P148" si="140">I128/12/L128</f>
        <v>8.3574536188169013E-3</v>
      </c>
      <c r="Q128">
        <f t="shared" ref="Q128:Q148" si="141">O128/(M128/L128)</f>
        <v>0.57627370893278296</v>
      </c>
      <c r="R128" s="141">
        <f>(M128/L128)*F128/12/0.0000106</f>
        <v>487327.03935230803</v>
      </c>
      <c r="S128">
        <v>0.1</v>
      </c>
      <c r="T128">
        <f>S128*L128*12</f>
        <v>0.31109954282558872</v>
      </c>
      <c r="U128" s="75">
        <f>O128/O$106-1</f>
        <v>-0.12337621659176889</v>
      </c>
    </row>
    <row r="129" spans="3:24">
      <c r="C129" s="129">
        <v>45055</v>
      </c>
      <c r="D129" s="64">
        <v>0.62847222222222221</v>
      </c>
      <c r="E129">
        <v>3</v>
      </c>
      <c r="F129">
        <v>2.5</v>
      </c>
      <c r="G129" s="11">
        <v>40.65</v>
      </c>
      <c r="H129" s="11">
        <f>offset+0.85</f>
        <v>6.8</v>
      </c>
      <c r="I129">
        <f t="shared" si="118"/>
        <v>4.9622047244092582E-2</v>
      </c>
      <c r="J129">
        <f t="shared" si="101"/>
        <v>1.6540682414697527E-2</v>
      </c>
      <c r="K129">
        <f t="shared" si="119"/>
        <v>3.1460793656036419</v>
      </c>
      <c r="L129">
        <f t="shared" ref="L129" si="142">L128</f>
        <v>0.25924961902132393</v>
      </c>
      <c r="M129">
        <f t="shared" ref="M129:M137" si="143">M128</f>
        <v>6.4281460919197499</v>
      </c>
      <c r="N129">
        <f t="shared" si="120"/>
        <v>3.3933047319280591</v>
      </c>
      <c r="O129">
        <f t="shared" si="139"/>
        <v>14.775832513000793</v>
      </c>
      <c r="P129">
        <f t="shared" si="140"/>
        <v>1.5950536858201723E-2</v>
      </c>
      <c r="Q129">
        <f t="shared" si="141"/>
        <v>0.59591504221310243</v>
      </c>
    </row>
    <row r="130" spans="3:24">
      <c r="C130" s="129">
        <v>45055</v>
      </c>
      <c r="D130" s="64">
        <v>0.62847222222222221</v>
      </c>
      <c r="E130">
        <v>3</v>
      </c>
      <c r="F130">
        <v>2.5</v>
      </c>
      <c r="G130" s="11">
        <v>40.700000000000003</v>
      </c>
      <c r="H130" s="11">
        <f>offset+1.225</f>
        <v>7.1750000000000007</v>
      </c>
      <c r="I130">
        <f t="shared" si="118"/>
        <v>6.9307086614173008E-2</v>
      </c>
      <c r="J130">
        <f t="shared" si="101"/>
        <v>2.3102362204724336E-2</v>
      </c>
      <c r="K130">
        <f t="shared" si="119"/>
        <v>3.1460793656036419</v>
      </c>
      <c r="L130">
        <f t="shared" ref="L130" si="144">L129</f>
        <v>0.25924961902132393</v>
      </c>
      <c r="M130">
        <f t="shared" si="143"/>
        <v>6.4281460919197499</v>
      </c>
      <c r="N130">
        <f t="shared" si="120"/>
        <v>3.76830473192806</v>
      </c>
      <c r="O130">
        <f t="shared" si="139"/>
        <v>15.57089356627459</v>
      </c>
      <c r="P130">
        <f t="shared" si="140"/>
        <v>2.2278106224356792E-2</v>
      </c>
      <c r="Q130">
        <f t="shared" si="141"/>
        <v>0.62798016211120467</v>
      </c>
    </row>
    <row r="131" spans="3:24">
      <c r="C131" s="129">
        <v>45055</v>
      </c>
      <c r="D131" s="64">
        <v>0.62847222222222221</v>
      </c>
      <c r="E131">
        <v>3</v>
      </c>
      <c r="F131">
        <v>2.5</v>
      </c>
      <c r="G131" s="11">
        <v>40.799999999999997</v>
      </c>
      <c r="H131" s="11">
        <f>offset+2</f>
        <v>7.95</v>
      </c>
      <c r="I131">
        <f t="shared" si="118"/>
        <v>0.10867716535432824</v>
      </c>
      <c r="J131">
        <f t="shared" si="101"/>
        <v>3.622572178477608E-2</v>
      </c>
      <c r="K131">
        <f t="shared" si="119"/>
        <v>3.1460793656036419</v>
      </c>
      <c r="L131">
        <f t="shared" ref="L131" si="145">L130</f>
        <v>0.25924961902132393</v>
      </c>
      <c r="M131">
        <f t="shared" si="143"/>
        <v>6.4281460919197499</v>
      </c>
      <c r="N131">
        <f t="shared" si="120"/>
        <v>4.5433047319280595</v>
      </c>
      <c r="O131">
        <f t="shared" si="139"/>
        <v>17.097257863536228</v>
      </c>
      <c r="P131">
        <f t="shared" si="140"/>
        <v>3.4933244956665131E-2</v>
      </c>
      <c r="Q131">
        <f t="shared" si="141"/>
        <v>0.68953902479017237</v>
      </c>
    </row>
    <row r="132" spans="3:24">
      <c r="C132" s="129">
        <v>45055</v>
      </c>
      <c r="D132" s="64">
        <v>0.62847222222222221</v>
      </c>
      <c r="E132">
        <v>3</v>
      </c>
      <c r="F132">
        <v>2.5</v>
      </c>
      <c r="G132" s="11">
        <v>40.9</v>
      </c>
      <c r="H132" s="11">
        <f>offset+2.47</f>
        <v>8.42</v>
      </c>
      <c r="I132">
        <f t="shared" si="118"/>
        <v>0.14804724409448627</v>
      </c>
      <c r="J132">
        <f t="shared" si="101"/>
        <v>4.934908136482876E-2</v>
      </c>
      <c r="K132">
        <f t="shared" si="119"/>
        <v>3.1460793656036419</v>
      </c>
      <c r="L132">
        <f t="shared" ref="L132" si="146">L131</f>
        <v>0.25924961902132393</v>
      </c>
      <c r="M132">
        <f t="shared" si="143"/>
        <v>6.4281460919197499</v>
      </c>
      <c r="N132">
        <f t="shared" si="120"/>
        <v>5.0133047319280601</v>
      </c>
      <c r="O132">
        <f t="shared" si="139"/>
        <v>17.959844833746516</v>
      </c>
      <c r="P132">
        <f t="shared" si="140"/>
        <v>4.7588383688974369E-2</v>
      </c>
      <c r="Q132">
        <f t="shared" si="141"/>
        <v>0.72432749104498795</v>
      </c>
    </row>
    <row r="133" spans="3:24">
      <c r="C133" s="129">
        <v>45055</v>
      </c>
      <c r="D133" s="64">
        <v>0.62847222222222221</v>
      </c>
      <c r="E133">
        <v>3</v>
      </c>
      <c r="F133">
        <v>2.5</v>
      </c>
      <c r="G133" s="11">
        <v>41</v>
      </c>
      <c r="H133" s="11">
        <f>offset+3.29</f>
        <v>9.24</v>
      </c>
      <c r="I133">
        <f t="shared" si="118"/>
        <v>0.18741732283464432</v>
      </c>
      <c r="J133">
        <f t="shared" si="101"/>
        <v>6.2472440944881441E-2</v>
      </c>
      <c r="K133">
        <f t="shared" si="119"/>
        <v>3.1460793656036419</v>
      </c>
      <c r="L133">
        <f t="shared" ref="L133" si="147">L132</f>
        <v>0.25924961902132393</v>
      </c>
      <c r="M133">
        <f t="shared" si="143"/>
        <v>6.4281460919197499</v>
      </c>
      <c r="N133">
        <f t="shared" si="120"/>
        <v>5.8333047319280604</v>
      </c>
      <c r="O133">
        <f t="shared" si="139"/>
        <v>19.373043809692152</v>
      </c>
      <c r="P133">
        <f t="shared" si="140"/>
        <v>6.0243522421283606E-2</v>
      </c>
      <c r="Q133">
        <f t="shared" si="141"/>
        <v>0.78132235253013127</v>
      </c>
    </row>
    <row r="134" spans="3:24">
      <c r="C134" s="129">
        <v>45055</v>
      </c>
      <c r="D134" s="64">
        <v>0.62847222222222221</v>
      </c>
      <c r="E134">
        <v>3</v>
      </c>
      <c r="F134">
        <v>2.5</v>
      </c>
      <c r="G134" s="11">
        <v>41.1</v>
      </c>
      <c r="H134" s="11">
        <f>offset+3.7</f>
        <v>9.65</v>
      </c>
      <c r="I134">
        <f t="shared" si="118"/>
        <v>0.22678740157480237</v>
      </c>
      <c r="J134">
        <f t="shared" si="101"/>
        <v>7.5595800524934129E-2</v>
      </c>
      <c r="K134">
        <f t="shared" si="119"/>
        <v>3.1460793656036419</v>
      </c>
      <c r="L134">
        <f t="shared" ref="L134" si="148">L133</f>
        <v>0.25924961902132393</v>
      </c>
      <c r="M134">
        <f t="shared" si="143"/>
        <v>6.4281460919197499</v>
      </c>
      <c r="N134">
        <f t="shared" si="120"/>
        <v>6.2433047319280606</v>
      </c>
      <c r="O134">
        <f t="shared" si="139"/>
        <v>20.042310905987151</v>
      </c>
      <c r="P134">
        <f t="shared" si="140"/>
        <v>7.289866115359285E-2</v>
      </c>
      <c r="Q134">
        <f t="shared" si="141"/>
        <v>0.80831415347194346</v>
      </c>
    </row>
    <row r="135" spans="3:24">
      <c r="C135" s="129">
        <v>45055</v>
      </c>
      <c r="D135" s="64">
        <v>0.62847222222222221</v>
      </c>
      <c r="E135">
        <v>3</v>
      </c>
      <c r="F135">
        <v>2.5</v>
      </c>
      <c r="G135" s="11">
        <v>41.4</v>
      </c>
      <c r="H135" s="11">
        <f>offset+4.7</f>
        <v>10.65</v>
      </c>
      <c r="I135">
        <f t="shared" si="118"/>
        <v>0.34489763779527371</v>
      </c>
      <c r="J135">
        <f t="shared" si="101"/>
        <v>0.11496587926509123</v>
      </c>
      <c r="K135">
        <f t="shared" si="119"/>
        <v>3.1460793656036419</v>
      </c>
      <c r="L135">
        <f t="shared" ref="L135" si="149">L134</f>
        <v>0.25924961902132393</v>
      </c>
      <c r="M135">
        <f t="shared" si="143"/>
        <v>6.4281460919197499</v>
      </c>
      <c r="N135">
        <f t="shared" si="120"/>
        <v>7.2433047319280606</v>
      </c>
      <c r="O135">
        <f t="shared" si="139"/>
        <v>21.587825885258837</v>
      </c>
      <c r="P135">
        <f t="shared" si="140"/>
        <v>0.11086407735051966</v>
      </c>
      <c r="Q135">
        <f t="shared" si="141"/>
        <v>0.87064537056602698</v>
      </c>
    </row>
    <row r="136" spans="3:24">
      <c r="C136" s="129">
        <v>45055</v>
      </c>
      <c r="D136" s="64">
        <v>0.62847222222222221</v>
      </c>
      <c r="E136">
        <v>3</v>
      </c>
      <c r="F136">
        <v>2.5</v>
      </c>
      <c r="G136" s="11">
        <v>42</v>
      </c>
      <c r="H136" s="11">
        <f>offset+5.68</f>
        <v>11.629999999999999</v>
      </c>
      <c r="I136">
        <f t="shared" si="118"/>
        <v>0.58111811023621918</v>
      </c>
      <c r="J136">
        <f t="shared" si="101"/>
        <v>0.1937060367454064</v>
      </c>
      <c r="K136">
        <f t="shared" si="119"/>
        <v>3.1460793656036419</v>
      </c>
      <c r="L136">
        <f t="shared" ref="L136" si="150">L135</f>
        <v>0.25924961902132393</v>
      </c>
      <c r="M136">
        <f t="shared" si="143"/>
        <v>6.4281460919197499</v>
      </c>
      <c r="N136">
        <f t="shared" si="120"/>
        <v>8.2233047319280601</v>
      </c>
      <c r="O136">
        <f t="shared" si="139"/>
        <v>23.001900496529661</v>
      </c>
      <c r="P136">
        <f t="shared" si="140"/>
        <v>0.18679490974437421</v>
      </c>
      <c r="Q136">
        <f t="shared" si="141"/>
        <v>0.92767554676262987</v>
      </c>
    </row>
    <row r="137" spans="3:24">
      <c r="C137" s="130">
        <v>45055</v>
      </c>
      <c r="D137" s="81">
        <v>0.62847222222222221</v>
      </c>
      <c r="E137" s="4">
        <v>3</v>
      </c>
      <c r="F137" s="4">
        <v>2.5</v>
      </c>
      <c r="G137" s="93">
        <v>46.5</v>
      </c>
      <c r="H137" s="93">
        <f>offset+8.42</f>
        <v>14.370000000000001</v>
      </c>
      <c r="I137" s="4">
        <f t="shared" si="118"/>
        <v>2.3527716535433054</v>
      </c>
      <c r="J137" s="4">
        <f t="shared" si="101"/>
        <v>0.78425721784776847</v>
      </c>
      <c r="K137" s="4">
        <f t="shared" si="119"/>
        <v>3.1460793656036419</v>
      </c>
      <c r="L137" s="4">
        <f t="shared" ref="L137" si="151">L136</f>
        <v>0.25924961902132393</v>
      </c>
      <c r="M137" s="4">
        <f t="shared" si="143"/>
        <v>6.4281460919197499</v>
      </c>
      <c r="N137" s="4">
        <f t="shared" si="120"/>
        <v>10.963304731928062</v>
      </c>
      <c r="O137" s="4">
        <f t="shared" si="139"/>
        <v>26.558972616655403</v>
      </c>
      <c r="P137" s="4">
        <f t="shared" si="140"/>
        <v>0.75627615269828163</v>
      </c>
      <c r="Q137" s="4">
        <f t="shared" si="141"/>
        <v>1.0711336416452506</v>
      </c>
      <c r="R137" s="131"/>
    </row>
    <row r="138" spans="3:24">
      <c r="C138" s="133">
        <v>45126</v>
      </c>
      <c r="D138" s="102">
        <v>0.64583333333333337</v>
      </c>
      <c r="E138" s="13">
        <v>1.5</v>
      </c>
      <c r="F138" s="13">
        <v>0</v>
      </c>
      <c r="G138" s="112">
        <v>40.5</v>
      </c>
      <c r="H138" s="112">
        <f>offset+1.02</f>
        <v>6.9700000000000006</v>
      </c>
      <c r="I138" s="3">
        <f>(G138-$G$138)/2.54+$H$3/2</f>
        <v>2.5999999999999999E-2</v>
      </c>
      <c r="J138" s="3">
        <f t="shared" si="101"/>
        <v>1.7333333333333333E-2</v>
      </c>
      <c r="K138" s="13">
        <f t="shared" ref="K138:K168" si="152">$H$4-F138*SIN(theta)/12</f>
        <v>3.2</v>
      </c>
      <c r="L138" s="20">
        <v>0.20647273792554968</v>
      </c>
      <c r="M138" s="20">
        <f>9.32603814357286/2</f>
        <v>4.6630190717864304</v>
      </c>
      <c r="N138" s="13">
        <f t="shared" ref="N138:N148" si="153">H138-$H$7-(K138+L138*COS(theta))</f>
        <v>3.5603626500130976</v>
      </c>
      <c r="O138" s="13">
        <f t="shared" si="139"/>
        <v>15.135181958002445</v>
      </c>
      <c r="P138" s="13">
        <f t="shared" si="140"/>
        <v>1.0493717904045652E-2</v>
      </c>
      <c r="Q138" s="13">
        <f t="shared" si="141"/>
        <v>0.67016720492908888</v>
      </c>
      <c r="R138" s="13"/>
    </row>
    <row r="139" spans="3:24">
      <c r="C139" s="133">
        <v>45126</v>
      </c>
      <c r="D139" s="102">
        <v>0.64583333333333337</v>
      </c>
      <c r="E139" s="13">
        <v>1.5</v>
      </c>
      <c r="F139" s="13">
        <v>0</v>
      </c>
      <c r="G139" s="112">
        <v>40.700000000000003</v>
      </c>
      <c r="H139" s="112">
        <f>offset+2.3</f>
        <v>8.25</v>
      </c>
      <c r="I139" s="13">
        <f t="shared" ref="I139:I178" si="154">(G139-$G$138)/2.54+$H$3/2</f>
        <v>0.10474015748031608</v>
      </c>
      <c r="J139" s="13">
        <f t="shared" si="101"/>
        <v>6.9826771653544048E-2</v>
      </c>
      <c r="K139" s="13">
        <f t="shared" si="152"/>
        <v>3.2</v>
      </c>
      <c r="L139" s="13">
        <f t="shared" ref="L139:M148" si="155">L138</f>
        <v>0.20647273792554968</v>
      </c>
      <c r="M139" s="13">
        <f t="shared" si="155"/>
        <v>4.6630190717864304</v>
      </c>
      <c r="N139" s="13">
        <f t="shared" si="153"/>
        <v>4.8403626500130983</v>
      </c>
      <c r="O139" s="13">
        <f t="shared" si="139"/>
        <v>17.647349174928305</v>
      </c>
      <c r="P139" s="13">
        <f t="shared" si="140"/>
        <v>4.2273602531682844E-2</v>
      </c>
      <c r="Q139" s="13">
        <f t="shared" si="141"/>
        <v>0.7814028733705598</v>
      </c>
      <c r="R139" s="13"/>
    </row>
    <row r="140" spans="3:24">
      <c r="C140" s="133">
        <v>45126</v>
      </c>
      <c r="D140" s="102">
        <v>0.64583333333333337</v>
      </c>
      <c r="E140" s="13">
        <v>1.5</v>
      </c>
      <c r="F140" s="13">
        <v>0</v>
      </c>
      <c r="G140" s="112">
        <v>41</v>
      </c>
      <c r="H140" s="112">
        <f>offset+3.2</f>
        <v>9.15</v>
      </c>
      <c r="I140" s="13">
        <f t="shared" si="154"/>
        <v>0.22285039370078738</v>
      </c>
      <c r="J140" s="13">
        <f t="shared" si="101"/>
        <v>0.14856692913385824</v>
      </c>
      <c r="K140" s="13">
        <f t="shared" si="152"/>
        <v>3.2</v>
      </c>
      <c r="L140" s="13">
        <f t="shared" si="155"/>
        <v>0.20647273792554968</v>
      </c>
      <c r="M140" s="13">
        <f t="shared" si="155"/>
        <v>4.6630190717864304</v>
      </c>
      <c r="N140" s="13">
        <f t="shared" si="153"/>
        <v>5.7403626500130986</v>
      </c>
      <c r="O140" s="13">
        <f t="shared" si="139"/>
        <v>19.218088690133648</v>
      </c>
      <c r="P140" s="13">
        <f t="shared" si="140"/>
        <v>8.9943429473137507E-2</v>
      </c>
      <c r="Q140" s="13">
        <f t="shared" si="141"/>
        <v>0.85095328336878673</v>
      </c>
      <c r="R140" s="13"/>
      <c r="W140" s="148">
        <f>AVERAGE(U128,U120,U66,U40,U33,U26,U150)</f>
        <v>-0.11943811927745793</v>
      </c>
      <c r="X140" s="149" t="s">
        <v>199</v>
      </c>
    </row>
    <row r="141" spans="3:24">
      <c r="C141" s="133">
        <v>45126</v>
      </c>
      <c r="D141" s="102">
        <v>0.64583333333333337</v>
      </c>
      <c r="E141" s="13">
        <v>1.5</v>
      </c>
      <c r="F141" s="13">
        <v>0</v>
      </c>
      <c r="G141" s="112">
        <v>42</v>
      </c>
      <c r="H141" s="112">
        <f>offset+4.66</f>
        <v>10.61</v>
      </c>
      <c r="I141" s="13">
        <f t="shared" si="154"/>
        <v>0.61655118110236218</v>
      </c>
      <c r="J141" s="13">
        <f t="shared" si="101"/>
        <v>0.41103412073490814</v>
      </c>
      <c r="K141" s="13">
        <f t="shared" si="152"/>
        <v>3.2</v>
      </c>
      <c r="L141" s="13">
        <f t="shared" si="155"/>
        <v>0.20647273792554968</v>
      </c>
      <c r="M141" s="13">
        <f t="shared" si="155"/>
        <v>4.6630190717864304</v>
      </c>
      <c r="N141" s="13">
        <f t="shared" si="153"/>
        <v>7.2003626500130977</v>
      </c>
      <c r="O141" s="13">
        <f t="shared" si="139"/>
        <v>21.523738822561537</v>
      </c>
      <c r="P141" s="13">
        <f t="shared" si="140"/>
        <v>0.24884285261132125</v>
      </c>
      <c r="Q141" s="13">
        <f t="shared" si="141"/>
        <v>0.95304462981451621</v>
      </c>
      <c r="R141" s="13"/>
    </row>
    <row r="142" spans="3:24">
      <c r="C142" s="134">
        <v>45126</v>
      </c>
      <c r="D142" s="135">
        <v>0.64583333333333337</v>
      </c>
      <c r="E142" s="136">
        <v>1.5</v>
      </c>
      <c r="F142" s="136">
        <v>0</v>
      </c>
      <c r="G142" s="137">
        <v>45.5</v>
      </c>
      <c r="H142" s="137">
        <f>offset+6.845</f>
        <v>12.795</v>
      </c>
      <c r="I142" s="136">
        <f t="shared" si="154"/>
        <v>1.9945039370078741</v>
      </c>
      <c r="J142" s="136">
        <f t="shared" si="101"/>
        <v>1.3296692913385828</v>
      </c>
      <c r="K142" s="138">
        <f t="shared" si="152"/>
        <v>3.2</v>
      </c>
      <c r="L142" s="136">
        <f t="shared" si="155"/>
        <v>0.20647273792554968</v>
      </c>
      <c r="M142" s="136">
        <f t="shared" si="155"/>
        <v>4.6630190717864304</v>
      </c>
      <c r="N142" s="136">
        <f t="shared" si="153"/>
        <v>9.3853626500130982</v>
      </c>
      <c r="O142" s="136">
        <f t="shared" si="139"/>
        <v>24.573445686387629</v>
      </c>
      <c r="P142" s="136">
        <f t="shared" si="140"/>
        <v>0.80499083359496437</v>
      </c>
      <c r="Q142" s="136">
        <f t="shared" si="141"/>
        <v>1.0880818913720334</v>
      </c>
      <c r="R142" s="140"/>
    </row>
    <row r="143" spans="3:24">
      <c r="C143" s="129">
        <v>45126</v>
      </c>
      <c r="D143" s="64">
        <v>0.64583333333333337</v>
      </c>
      <c r="E143">
        <v>1.5</v>
      </c>
      <c r="F143">
        <v>0.5</v>
      </c>
      <c r="G143" s="11">
        <v>40.5</v>
      </c>
      <c r="H143" s="11">
        <v>5.71</v>
      </c>
      <c r="I143">
        <f t="shared" si="154"/>
        <v>2.5999999999999999E-2</v>
      </c>
      <c r="J143">
        <f t="shared" si="101"/>
        <v>1.7333333333333333E-2</v>
      </c>
      <c r="K143">
        <f t="shared" si="152"/>
        <v>3.1892158731207285</v>
      </c>
      <c r="L143">
        <f t="shared" si="155"/>
        <v>0.20647273792554968</v>
      </c>
      <c r="M143">
        <f t="shared" si="155"/>
        <v>4.6630190717864304</v>
      </c>
      <c r="N143">
        <f t="shared" si="153"/>
        <v>2.3111467768923686</v>
      </c>
      <c r="O143">
        <f t="shared" si="139"/>
        <v>12.194227471441353</v>
      </c>
      <c r="P143">
        <f t="shared" si="140"/>
        <v>1.0493717904045652E-2</v>
      </c>
      <c r="Q143">
        <f t="shared" si="141"/>
        <v>0.5399453646135044</v>
      </c>
      <c r="R143" s="141">
        <f>(M143/L143)*F143/12/0.0000106</f>
        <v>88774.322787575482</v>
      </c>
      <c r="S143">
        <v>4.4999999999999998E-2</v>
      </c>
      <c r="T143">
        <f>S143*L143*12</f>
        <v>0.11149527847979682</v>
      </c>
      <c r="U143" s="75">
        <f>O143/O$138-1</f>
        <v>-0.19431246315516659</v>
      </c>
    </row>
    <row r="144" spans="3:24">
      <c r="C144" s="129">
        <v>45126</v>
      </c>
      <c r="D144" s="64">
        <v>0.64583333333333337</v>
      </c>
      <c r="E144">
        <v>1.5</v>
      </c>
      <c r="F144">
        <v>0.5</v>
      </c>
      <c r="G144" s="11">
        <v>40.520000000000003</v>
      </c>
      <c r="H144" s="11">
        <f>offset+0.105</f>
        <v>6.0550000000000006</v>
      </c>
      <c r="I144">
        <f t="shared" si="154"/>
        <v>3.3874015748032726E-2</v>
      </c>
      <c r="J144">
        <f t="shared" si="101"/>
        <v>2.2582677165355152E-2</v>
      </c>
      <c r="K144">
        <f t="shared" si="152"/>
        <v>3.1892158731207285</v>
      </c>
      <c r="L144">
        <f t="shared" si="155"/>
        <v>0.20647273792554968</v>
      </c>
      <c r="M144">
        <f t="shared" si="155"/>
        <v>4.6630190717864304</v>
      </c>
      <c r="N144">
        <f t="shared" si="153"/>
        <v>2.6561467768923692</v>
      </c>
      <c r="O144">
        <f t="shared" si="139"/>
        <v>13.072738183917517</v>
      </c>
      <c r="P144">
        <f t="shared" si="140"/>
        <v>1.3671706366809824E-2</v>
      </c>
      <c r="Q144">
        <f t="shared" si="141"/>
        <v>0.57884473631013089</v>
      </c>
    </row>
    <row r="145" spans="3:21">
      <c r="C145" s="129">
        <v>45126</v>
      </c>
      <c r="D145" s="64">
        <v>0.64583333333333337</v>
      </c>
      <c r="E145">
        <v>1.5</v>
      </c>
      <c r="F145">
        <v>0.5</v>
      </c>
      <c r="G145" s="11">
        <v>40.619999999999997</v>
      </c>
      <c r="H145" s="11">
        <f>offset+1.515</f>
        <v>7.4649999999999999</v>
      </c>
      <c r="I145">
        <f t="shared" si="154"/>
        <v>7.3244094488187972E-2</v>
      </c>
      <c r="J145">
        <f t="shared" si="101"/>
        <v>4.882939632545865E-2</v>
      </c>
      <c r="K145">
        <f t="shared" si="152"/>
        <v>3.1892158731207285</v>
      </c>
      <c r="L145">
        <f t="shared" si="155"/>
        <v>0.20647273792554968</v>
      </c>
      <c r="M145">
        <f t="shared" si="155"/>
        <v>4.6630190717864304</v>
      </c>
      <c r="N145">
        <f t="shared" si="153"/>
        <v>4.0661467768923689</v>
      </c>
      <c r="O145">
        <f t="shared" si="139"/>
        <v>16.174544309663101</v>
      </c>
      <c r="P145">
        <f t="shared" si="140"/>
        <v>2.9561648680627297E-2</v>
      </c>
      <c r="Q145">
        <f t="shared" si="141"/>
        <v>0.71618888897978261</v>
      </c>
    </row>
    <row r="146" spans="3:21">
      <c r="C146" s="129">
        <v>45126</v>
      </c>
      <c r="D146" s="64">
        <v>0.64583333333333337</v>
      </c>
      <c r="E146">
        <v>1.5</v>
      </c>
      <c r="F146">
        <v>0.5</v>
      </c>
      <c r="G146" s="11">
        <v>40.67</v>
      </c>
      <c r="H146" s="11">
        <f>offset+1.955</f>
        <v>7.9050000000000002</v>
      </c>
      <c r="I146">
        <f t="shared" si="154"/>
        <v>9.2929133858268384E-2</v>
      </c>
      <c r="J146">
        <f t="shared" si="101"/>
        <v>6.1952755905512254E-2</v>
      </c>
      <c r="K146">
        <f t="shared" si="152"/>
        <v>3.1892158731207285</v>
      </c>
      <c r="L146">
        <f t="shared" si="155"/>
        <v>0.20647273792554968</v>
      </c>
      <c r="M146">
        <f t="shared" si="155"/>
        <v>4.6630190717864304</v>
      </c>
      <c r="N146">
        <f t="shared" si="153"/>
        <v>4.5061467768923684</v>
      </c>
      <c r="O146">
        <f t="shared" si="139"/>
        <v>17.027198349266243</v>
      </c>
      <c r="P146">
        <f t="shared" si="140"/>
        <v>3.7506619837537156E-2</v>
      </c>
      <c r="Q146">
        <f t="shared" si="141"/>
        <v>0.75394335906662591</v>
      </c>
    </row>
    <row r="147" spans="3:21">
      <c r="C147" s="129">
        <v>45126</v>
      </c>
      <c r="D147" s="64">
        <v>0.64583333333333337</v>
      </c>
      <c r="E147">
        <v>1.5</v>
      </c>
      <c r="F147">
        <v>0.5</v>
      </c>
      <c r="G147" s="11">
        <v>40.700000000000003</v>
      </c>
      <c r="H147" s="11">
        <f>offset+2.13</f>
        <v>8.08</v>
      </c>
      <c r="I147">
        <f t="shared" si="154"/>
        <v>0.10474015748031608</v>
      </c>
      <c r="J147">
        <f t="shared" si="101"/>
        <v>6.9826771653544048E-2</v>
      </c>
      <c r="K147">
        <f t="shared" si="152"/>
        <v>3.1892158731207285</v>
      </c>
      <c r="L147">
        <f t="shared" si="155"/>
        <v>0.20647273792554968</v>
      </c>
      <c r="M147">
        <f t="shared" si="155"/>
        <v>4.6630190717864304</v>
      </c>
      <c r="N147">
        <f t="shared" si="153"/>
        <v>4.6811467768923691</v>
      </c>
      <c r="O147">
        <f t="shared" si="139"/>
        <v>17.35468189351954</v>
      </c>
      <c r="P147">
        <f t="shared" si="140"/>
        <v>4.2273602531682844E-2</v>
      </c>
      <c r="Q147">
        <f t="shared" si="141"/>
        <v>0.76844392682468077</v>
      </c>
    </row>
    <row r="148" spans="3:21">
      <c r="C148" s="129">
        <v>45126</v>
      </c>
      <c r="D148" s="64">
        <v>0.64583333333333337</v>
      </c>
      <c r="E148">
        <v>1.5</v>
      </c>
      <c r="F148">
        <v>0.5</v>
      </c>
      <c r="G148" s="11">
        <v>40.799999999999997</v>
      </c>
      <c r="H148" s="11">
        <f>offset+2.68</f>
        <v>8.6300000000000008</v>
      </c>
      <c r="I148">
        <f t="shared" si="154"/>
        <v>0.14411023622047131</v>
      </c>
      <c r="J148">
        <f t="shared" si="101"/>
        <v>9.6073490813647536E-2</v>
      </c>
      <c r="K148">
        <f t="shared" si="152"/>
        <v>3.1892158731207285</v>
      </c>
      <c r="L148">
        <f t="shared" si="155"/>
        <v>0.20647273792554968</v>
      </c>
      <c r="M148">
        <f t="shared" si="155"/>
        <v>4.6630190717864304</v>
      </c>
      <c r="N148">
        <f t="shared" si="153"/>
        <v>5.2311467768923698</v>
      </c>
      <c r="O148">
        <f t="shared" si="139"/>
        <v>18.345898277959982</v>
      </c>
      <c r="P148">
        <f t="shared" si="140"/>
        <v>5.8163544845500313E-2</v>
      </c>
      <c r="Q148">
        <f t="shared" si="141"/>
        <v>0.81233376678059499</v>
      </c>
    </row>
    <row r="149" spans="3:21">
      <c r="C149" s="130">
        <v>45126</v>
      </c>
      <c r="D149" s="81">
        <v>0.64583333333333337</v>
      </c>
      <c r="E149" s="4">
        <v>1.5</v>
      </c>
      <c r="F149" s="4">
        <v>0.5</v>
      </c>
      <c r="G149" s="93">
        <v>45</v>
      </c>
      <c r="H149" s="93">
        <f>offset+6.48</f>
        <v>12.43</v>
      </c>
      <c r="I149" s="4">
        <f t="shared" si="154"/>
        <v>1.7976535433070866</v>
      </c>
      <c r="J149" s="4">
        <f t="shared" si="101"/>
        <v>1.1984356955380577</v>
      </c>
      <c r="K149" s="4">
        <f t="shared" si="152"/>
        <v>3.1892158731207285</v>
      </c>
      <c r="L149" s="4">
        <f t="shared" ref="L149:M149" si="156">L148</f>
        <v>0.20647273792554968</v>
      </c>
      <c r="M149" s="4">
        <f t="shared" si="156"/>
        <v>4.6630190717864304</v>
      </c>
      <c r="N149" s="4">
        <f t="shared" ref="N149:N178" si="157">H149-$H$7-(K149+L149*COS(theta))</f>
        <v>9.0311467768923688</v>
      </c>
      <c r="O149" s="4">
        <f t="shared" ref="O149:O178" si="158">SQRT(2*32.17*N149)</f>
        <v>24.105268793881038</v>
      </c>
      <c r="P149" s="4">
        <f t="shared" ref="P149:P178" si="159">I149/12/L149</f>
        <v>0.7255411220258724</v>
      </c>
      <c r="Q149" s="4">
        <f t="shared" ref="Q149:Q178" si="160">O149/(M149/L149)</f>
        <v>1.0673515955398358</v>
      </c>
      <c r="R149" s="131"/>
    </row>
    <row r="150" spans="3:21">
      <c r="C150" s="129">
        <v>45126</v>
      </c>
      <c r="D150" s="64">
        <v>0.64583333333333337</v>
      </c>
      <c r="E150" s="142">
        <v>1.5</v>
      </c>
      <c r="F150" s="142">
        <v>1</v>
      </c>
      <c r="G150" s="143">
        <v>40.5</v>
      </c>
      <c r="H150" s="11">
        <v>6.1150000000000002</v>
      </c>
      <c r="I150" s="142">
        <f t="shared" si="154"/>
        <v>2.5999999999999999E-2</v>
      </c>
      <c r="J150" s="142">
        <f t="shared" si="101"/>
        <v>1.7333333333333333E-2</v>
      </c>
      <c r="K150">
        <f t="shared" si="152"/>
        <v>3.1784317462414569</v>
      </c>
      <c r="L150">
        <f t="shared" ref="L150:M150" si="161">L149</f>
        <v>0.20647273792554968</v>
      </c>
      <c r="M150">
        <f t="shared" si="161"/>
        <v>4.6630190717864304</v>
      </c>
      <c r="N150">
        <f t="shared" si="157"/>
        <v>2.7269309037716405</v>
      </c>
      <c r="O150">
        <f t="shared" si="158"/>
        <v>13.24578175679591</v>
      </c>
      <c r="P150">
        <f t="shared" si="159"/>
        <v>1.0493717904045652E-2</v>
      </c>
      <c r="Q150">
        <f t="shared" si="160"/>
        <v>0.58650689246316878</v>
      </c>
      <c r="R150" s="141">
        <f>(M150/L150)*F150/12/0.0000106</f>
        <v>177548.64557515096</v>
      </c>
      <c r="S150">
        <v>0.06</v>
      </c>
      <c r="T150">
        <f>S150*L150*12</f>
        <v>0.14866037130639576</v>
      </c>
      <c r="U150" s="75">
        <f>O150/O$138-1</f>
        <v>-0.12483498424064532</v>
      </c>
    </row>
    <row r="151" spans="3:21">
      <c r="C151" s="129">
        <v>45126</v>
      </c>
      <c r="D151" s="64">
        <v>0.64583333333333337</v>
      </c>
      <c r="E151" s="142">
        <v>1.5</v>
      </c>
      <c r="F151" s="142">
        <v>1</v>
      </c>
      <c r="G151" s="143">
        <v>40.54</v>
      </c>
      <c r="H151" s="11">
        <f>offset+0.26</f>
        <v>6.21</v>
      </c>
      <c r="I151" s="142">
        <f t="shared" si="154"/>
        <v>4.1748031496062654E-2</v>
      </c>
      <c r="J151" s="142">
        <f t="shared" si="101"/>
        <v>2.7832020997375102E-2</v>
      </c>
      <c r="K151">
        <f t="shared" si="152"/>
        <v>3.1784317462414569</v>
      </c>
      <c r="L151">
        <f t="shared" ref="L151:M151" si="162">L150</f>
        <v>0.20647273792554968</v>
      </c>
      <c r="M151">
        <f t="shared" si="162"/>
        <v>4.6630190717864304</v>
      </c>
      <c r="N151">
        <f t="shared" si="157"/>
        <v>2.8219309037716402</v>
      </c>
      <c r="O151">
        <f t="shared" si="158"/>
        <v>13.474532806322724</v>
      </c>
      <c r="P151">
        <f t="shared" si="159"/>
        <v>1.6849694829572864E-2</v>
      </c>
      <c r="Q151">
        <f t="shared" si="160"/>
        <v>0.59663570702987612</v>
      </c>
    </row>
    <row r="152" spans="3:21">
      <c r="C152" s="129">
        <v>45126</v>
      </c>
      <c r="D152" s="64">
        <v>0.64583333333333337</v>
      </c>
      <c r="E152" s="142">
        <v>1.5</v>
      </c>
      <c r="F152" s="142">
        <v>1</v>
      </c>
      <c r="G152" s="143">
        <v>40.6</v>
      </c>
      <c r="H152" s="11">
        <f>offset+0.87</f>
        <v>6.82</v>
      </c>
      <c r="I152" s="142">
        <f t="shared" si="154"/>
        <v>6.5370078740158044E-2</v>
      </c>
      <c r="J152" s="142">
        <f t="shared" si="101"/>
        <v>4.3580052493438694E-2</v>
      </c>
      <c r="K152">
        <f t="shared" si="152"/>
        <v>3.1784317462414569</v>
      </c>
      <c r="L152">
        <f t="shared" ref="L152:M152" si="163">L151</f>
        <v>0.20647273792554968</v>
      </c>
      <c r="M152">
        <f t="shared" si="163"/>
        <v>4.6630190717864304</v>
      </c>
      <c r="N152">
        <f t="shared" si="157"/>
        <v>3.4319309037716406</v>
      </c>
      <c r="O152">
        <f t="shared" si="158"/>
        <v>14.859691596687576</v>
      </c>
      <c r="P152">
        <f t="shared" si="159"/>
        <v>2.6383660217864251E-2</v>
      </c>
      <c r="Q152">
        <f t="shared" si="160"/>
        <v>0.65796883123661587</v>
      </c>
    </row>
    <row r="153" spans="3:21">
      <c r="C153" s="129">
        <v>45126</v>
      </c>
      <c r="D153" s="64">
        <v>0.64583333333333337</v>
      </c>
      <c r="E153" s="142">
        <v>1.5</v>
      </c>
      <c r="F153" s="142">
        <v>1</v>
      </c>
      <c r="G153" s="143">
        <v>40.78</v>
      </c>
      <c r="H153" s="11">
        <f>offset+2.4</f>
        <v>8.35</v>
      </c>
      <c r="I153" s="142">
        <f t="shared" si="154"/>
        <v>0.13623622047244138</v>
      </c>
      <c r="J153" s="142">
        <f t="shared" si="101"/>
        <v>9.0824146981627593E-2</v>
      </c>
      <c r="K153">
        <f t="shared" si="152"/>
        <v>3.1784317462414569</v>
      </c>
      <c r="L153">
        <f t="shared" ref="L153:M153" si="164">L152</f>
        <v>0.20647273792554968</v>
      </c>
      <c r="M153">
        <f t="shared" si="164"/>
        <v>4.6630190717864304</v>
      </c>
      <c r="N153">
        <f t="shared" si="157"/>
        <v>4.9619309037716413</v>
      </c>
      <c r="O153">
        <f t="shared" si="158"/>
        <v>17.867586136595715</v>
      </c>
      <c r="P153">
        <f t="shared" si="159"/>
        <v>5.4985556382737277E-2</v>
      </c>
      <c r="Q153">
        <f t="shared" si="160"/>
        <v>0.79115469461937438</v>
      </c>
    </row>
    <row r="154" spans="3:21">
      <c r="C154" s="129">
        <v>45126</v>
      </c>
      <c r="D154" s="64">
        <v>0.64583333333333337</v>
      </c>
      <c r="E154" s="142">
        <v>1.5</v>
      </c>
      <c r="F154" s="142">
        <v>1</v>
      </c>
      <c r="G154" s="143">
        <v>40.9</v>
      </c>
      <c r="H154" s="11">
        <f>offset+2.8</f>
        <v>8.75</v>
      </c>
      <c r="I154" s="142">
        <f t="shared" si="154"/>
        <v>0.18348031496062936</v>
      </c>
      <c r="J154" s="142">
        <f t="shared" si="101"/>
        <v>0.12232020997375291</v>
      </c>
      <c r="K154">
        <f t="shared" si="152"/>
        <v>3.1784317462414569</v>
      </c>
      <c r="L154">
        <f t="shared" ref="L154:M154" si="165">L153</f>
        <v>0.20647273792554968</v>
      </c>
      <c r="M154">
        <f t="shared" si="165"/>
        <v>4.6630190717864304</v>
      </c>
      <c r="N154">
        <f t="shared" si="157"/>
        <v>5.3619309037716416</v>
      </c>
      <c r="O154">
        <f t="shared" si="158"/>
        <v>18.57381582628264</v>
      </c>
      <c r="P154">
        <f t="shared" si="159"/>
        <v>7.405348715931892E-2</v>
      </c>
      <c r="Q154">
        <f t="shared" si="160"/>
        <v>0.82242567494116559</v>
      </c>
    </row>
    <row r="155" spans="3:21">
      <c r="C155" s="129">
        <v>45126</v>
      </c>
      <c r="D155" s="64">
        <v>0.64583333333333337</v>
      </c>
      <c r="E155" s="142">
        <v>1.5</v>
      </c>
      <c r="F155" s="142">
        <v>1</v>
      </c>
      <c r="G155" s="143">
        <v>41.2</v>
      </c>
      <c r="H155" s="11">
        <f>offset+3.455</f>
        <v>9.4050000000000011</v>
      </c>
      <c r="I155" s="142">
        <f t="shared" si="154"/>
        <v>0.30159055118110351</v>
      </c>
      <c r="J155" s="142">
        <f t="shared" si="101"/>
        <v>0.20106036745406899</v>
      </c>
      <c r="K155">
        <f t="shared" si="152"/>
        <v>3.1784317462414569</v>
      </c>
      <c r="L155">
        <f t="shared" ref="L155:M155" si="166">L154</f>
        <v>0.20647273792554968</v>
      </c>
      <c r="M155">
        <f t="shared" si="166"/>
        <v>4.6630190717864304</v>
      </c>
      <c r="N155">
        <f t="shared" si="157"/>
        <v>6.0169309037716427</v>
      </c>
      <c r="O155">
        <f t="shared" si="158"/>
        <v>19.675602515518236</v>
      </c>
      <c r="P155">
        <f t="shared" si="159"/>
        <v>0.12172331410077472</v>
      </c>
      <c r="Q155">
        <f t="shared" si="160"/>
        <v>0.87121143172968496</v>
      </c>
    </row>
    <row r="156" spans="3:21">
      <c r="C156" s="129">
        <v>45126</v>
      </c>
      <c r="D156" s="64">
        <v>0.64583333333333337</v>
      </c>
      <c r="E156" s="142">
        <v>1.5</v>
      </c>
      <c r="F156" s="142">
        <v>1</v>
      </c>
      <c r="G156" s="143">
        <v>41.5</v>
      </c>
      <c r="H156" s="11">
        <f>offset+3.99</f>
        <v>9.9400000000000013</v>
      </c>
      <c r="I156" s="142">
        <f t="shared" si="154"/>
        <v>0.41970078740157479</v>
      </c>
      <c r="J156" s="142">
        <f t="shared" si="101"/>
        <v>0.27980052493438318</v>
      </c>
      <c r="K156">
        <f t="shared" si="152"/>
        <v>3.1784317462414569</v>
      </c>
      <c r="L156">
        <f t="shared" ref="L156:M156" si="167">L155</f>
        <v>0.20647273792554968</v>
      </c>
      <c r="M156">
        <f t="shared" si="167"/>
        <v>4.6630190717864304</v>
      </c>
      <c r="N156">
        <f t="shared" si="157"/>
        <v>6.5519309037716429</v>
      </c>
      <c r="O156">
        <f t="shared" si="158"/>
        <v>20.531712893683945</v>
      </c>
      <c r="P156">
        <f t="shared" si="159"/>
        <v>0.16939314104222936</v>
      </c>
      <c r="Q156">
        <f t="shared" si="160"/>
        <v>0.90911894422858475</v>
      </c>
    </row>
    <row r="157" spans="3:21">
      <c r="C157" s="130">
        <v>45126</v>
      </c>
      <c r="D157" s="81">
        <v>0.64583333333333337</v>
      </c>
      <c r="E157" s="144">
        <v>1.5</v>
      </c>
      <c r="F157" s="144">
        <v>1</v>
      </c>
      <c r="G157" s="145">
        <v>45.4</v>
      </c>
      <c r="H157" s="93">
        <f>offset+6.64</f>
        <v>12.59</v>
      </c>
      <c r="I157" s="144">
        <f t="shared" si="154"/>
        <v>1.955133858267716</v>
      </c>
      <c r="J157" s="144">
        <f t="shared" ref="J157:J178" si="168">I157/E157</f>
        <v>1.3034225721784773</v>
      </c>
      <c r="K157" s="4">
        <f t="shared" si="152"/>
        <v>3.1784317462414569</v>
      </c>
      <c r="L157" s="4">
        <f t="shared" ref="L157:M157" si="169">L156</f>
        <v>0.20647273792554968</v>
      </c>
      <c r="M157" s="4">
        <f t="shared" si="169"/>
        <v>4.6630190717864304</v>
      </c>
      <c r="N157" s="4">
        <f t="shared" si="157"/>
        <v>9.2019309037716415</v>
      </c>
      <c r="O157" s="4">
        <f t="shared" si="158"/>
        <v>24.33212350676914</v>
      </c>
      <c r="P157" s="4">
        <f t="shared" si="159"/>
        <v>0.78910089128114569</v>
      </c>
      <c r="Q157" s="4">
        <f t="shared" si="160"/>
        <v>1.0773964426571727</v>
      </c>
    </row>
    <row r="158" spans="3:21">
      <c r="C158" s="129">
        <v>45126</v>
      </c>
      <c r="D158" s="64">
        <v>0.64583333333333337</v>
      </c>
      <c r="E158">
        <v>1.5</v>
      </c>
      <c r="F158">
        <v>1.25</v>
      </c>
      <c r="G158" s="11">
        <v>40.5</v>
      </c>
      <c r="H158" s="11">
        <f>offset+0.565</f>
        <v>6.5150000000000006</v>
      </c>
      <c r="I158">
        <f t="shared" si="154"/>
        <v>2.5999999999999999E-2</v>
      </c>
      <c r="J158">
        <f t="shared" si="168"/>
        <v>1.7333333333333333E-2</v>
      </c>
      <c r="K158">
        <f t="shared" si="152"/>
        <v>3.173039682801821</v>
      </c>
      <c r="L158">
        <f t="shared" ref="L158:M158" si="170">L157</f>
        <v>0.20647273792554968</v>
      </c>
      <c r="M158">
        <f t="shared" si="170"/>
        <v>4.6630190717864304</v>
      </c>
      <c r="N158">
        <f t="shared" si="157"/>
        <v>3.1323229672112767</v>
      </c>
      <c r="O158">
        <f t="shared" si="158"/>
        <v>14.196255129800026</v>
      </c>
      <c r="P158">
        <f t="shared" si="159"/>
        <v>1.0493717904045652E-2</v>
      </c>
      <c r="Q158">
        <f t="shared" si="160"/>
        <v>0.62859268208322039</v>
      </c>
      <c r="R158" s="141">
        <f>(M158/L158)*F158/12/0.0000106</f>
        <v>221935.80696893873</v>
      </c>
      <c r="S158">
        <v>0.06</v>
      </c>
      <c r="T158">
        <f>S158*L158*12</f>
        <v>0.14866037130639576</v>
      </c>
      <c r="U158" s="75">
        <f>O158/O$138-1</f>
        <v>-6.2036044945332103E-2</v>
      </c>
    </row>
    <row r="159" spans="3:21">
      <c r="C159" s="129">
        <v>45126</v>
      </c>
      <c r="D159" s="64">
        <v>0.64583333333333337</v>
      </c>
      <c r="E159">
        <v>1.5</v>
      </c>
      <c r="F159">
        <v>1.25</v>
      </c>
      <c r="G159" s="11">
        <v>40.520000000000003</v>
      </c>
      <c r="H159" s="11">
        <f>offset+0.545</f>
        <v>6.4950000000000001</v>
      </c>
      <c r="I159">
        <f t="shared" si="154"/>
        <v>3.3874015748032726E-2</v>
      </c>
      <c r="J159">
        <f t="shared" si="168"/>
        <v>2.2582677165355152E-2</v>
      </c>
      <c r="K159">
        <f t="shared" si="152"/>
        <v>3.173039682801821</v>
      </c>
      <c r="L159">
        <f t="shared" ref="L159:M159" si="171">L158</f>
        <v>0.20647273792554968</v>
      </c>
      <c r="M159">
        <f t="shared" si="171"/>
        <v>4.6630190717864304</v>
      </c>
      <c r="N159">
        <f t="shared" si="157"/>
        <v>3.1123229672112762</v>
      </c>
      <c r="O159">
        <f t="shared" si="158"/>
        <v>14.150860740971678</v>
      </c>
      <c r="P159">
        <f t="shared" si="159"/>
        <v>1.3671706366809824E-2</v>
      </c>
      <c r="Q159">
        <f t="shared" si="160"/>
        <v>0.62658267448866534</v>
      </c>
    </row>
    <row r="160" spans="3:21">
      <c r="C160" s="129">
        <v>45126</v>
      </c>
      <c r="D160" s="64">
        <v>0.64583333333333337</v>
      </c>
      <c r="E160">
        <v>1.5</v>
      </c>
      <c r="F160">
        <v>1.25</v>
      </c>
      <c r="G160" s="11">
        <v>40.54</v>
      </c>
      <c r="H160" s="11">
        <f>offset+0.555</f>
        <v>6.5049999999999999</v>
      </c>
      <c r="I160">
        <f t="shared" si="154"/>
        <v>4.1748031496062654E-2</v>
      </c>
      <c r="J160">
        <f t="shared" si="168"/>
        <v>2.7832020997375102E-2</v>
      </c>
      <c r="K160">
        <f t="shared" si="152"/>
        <v>3.173039682801821</v>
      </c>
      <c r="L160">
        <f t="shared" ref="L160:M160" si="172">L159</f>
        <v>0.20647273792554968</v>
      </c>
      <c r="M160">
        <f t="shared" si="172"/>
        <v>4.6630190717864304</v>
      </c>
      <c r="N160">
        <f t="shared" si="157"/>
        <v>3.122322967211276</v>
      </c>
      <c r="O160">
        <f t="shared" si="158"/>
        <v>14.173576108744522</v>
      </c>
      <c r="P160">
        <f t="shared" si="159"/>
        <v>1.6849694829572864E-2</v>
      </c>
      <c r="Q160">
        <f t="shared" si="160"/>
        <v>0.62758848297986836</v>
      </c>
    </row>
    <row r="161" spans="3:21">
      <c r="C161" s="129">
        <v>45126</v>
      </c>
      <c r="D161" s="64">
        <v>0.64583333333333337</v>
      </c>
      <c r="E161">
        <v>1.5</v>
      </c>
      <c r="F161">
        <v>1.25</v>
      </c>
      <c r="G161" s="11">
        <v>40.56</v>
      </c>
      <c r="H161" s="11">
        <f>offset+0.67</f>
        <v>6.62</v>
      </c>
      <c r="I161">
        <f t="shared" si="154"/>
        <v>4.9622047244095385E-2</v>
      </c>
      <c r="J161">
        <f t="shared" si="168"/>
        <v>3.3081364829396921E-2</v>
      </c>
      <c r="K161">
        <f t="shared" si="152"/>
        <v>3.173039682801821</v>
      </c>
      <c r="L161">
        <f t="shared" ref="L161:M161" si="173">L160</f>
        <v>0.20647273792554968</v>
      </c>
      <c r="M161">
        <f t="shared" si="173"/>
        <v>4.6630190717864304</v>
      </c>
      <c r="N161">
        <f t="shared" si="157"/>
        <v>3.2373229672112762</v>
      </c>
      <c r="O161">
        <f t="shared" si="158"/>
        <v>14.432233358367426</v>
      </c>
      <c r="P161">
        <f t="shared" si="159"/>
        <v>2.0027683292337038E-2</v>
      </c>
      <c r="Q161">
        <f t="shared" si="160"/>
        <v>0.63904150723127329</v>
      </c>
    </row>
    <row r="162" spans="3:21">
      <c r="C162" s="129">
        <v>45126</v>
      </c>
      <c r="D162" s="64">
        <v>0.64583333333333337</v>
      </c>
      <c r="E162">
        <v>1.5</v>
      </c>
      <c r="F162">
        <v>1.25</v>
      </c>
      <c r="G162" s="11">
        <v>40.58</v>
      </c>
      <c r="H162" s="11">
        <f>offset+0.925</f>
        <v>6.875</v>
      </c>
      <c r="I162">
        <f t="shared" si="154"/>
        <v>5.7496062992125313E-2</v>
      </c>
      <c r="J162">
        <f t="shared" si="168"/>
        <v>3.8330708661416878E-2</v>
      </c>
      <c r="K162">
        <f t="shared" si="152"/>
        <v>3.173039682801821</v>
      </c>
      <c r="L162">
        <f t="shared" ref="L162:M162" si="174">L161</f>
        <v>0.20647273792554968</v>
      </c>
      <c r="M162">
        <f t="shared" si="174"/>
        <v>4.6630190717864304</v>
      </c>
      <c r="N162">
        <f t="shared" si="157"/>
        <v>3.4923229672112761</v>
      </c>
      <c r="O162">
        <f t="shared" si="158"/>
        <v>14.9898652332292</v>
      </c>
      <c r="P162">
        <f t="shared" si="159"/>
        <v>2.320567175510008E-2</v>
      </c>
      <c r="Q162">
        <f t="shared" si="160"/>
        <v>0.66373275944036159</v>
      </c>
    </row>
    <row r="163" spans="3:21">
      <c r="C163" s="129">
        <v>45126</v>
      </c>
      <c r="D163" s="64">
        <v>0.64583333333333337</v>
      </c>
      <c r="E163">
        <v>1.5</v>
      </c>
      <c r="F163">
        <v>1.25</v>
      </c>
      <c r="G163" s="11">
        <v>40.6</v>
      </c>
      <c r="H163" s="11">
        <f>offset+1.105</f>
        <v>7.0549999999999997</v>
      </c>
      <c r="I163">
        <f t="shared" si="154"/>
        <v>6.5370078740158044E-2</v>
      </c>
      <c r="J163">
        <f t="shared" si="168"/>
        <v>4.3580052493438694E-2</v>
      </c>
      <c r="K163">
        <f t="shared" si="152"/>
        <v>3.173039682801821</v>
      </c>
      <c r="L163">
        <f t="shared" ref="L163:M163" si="175">L162</f>
        <v>0.20647273792554968</v>
      </c>
      <c r="M163">
        <f t="shared" si="175"/>
        <v>4.6630190717864304</v>
      </c>
      <c r="N163">
        <f t="shared" si="157"/>
        <v>3.6723229672112758</v>
      </c>
      <c r="O163">
        <f t="shared" si="158"/>
        <v>15.371312881805949</v>
      </c>
      <c r="P163">
        <f t="shared" si="159"/>
        <v>2.6383660217864251E-2</v>
      </c>
      <c r="Q163">
        <f t="shared" si="160"/>
        <v>0.68062279123401914</v>
      </c>
    </row>
    <row r="164" spans="3:21">
      <c r="C164" s="129">
        <v>45126</v>
      </c>
      <c r="D164" s="64">
        <v>0.64583333333333337</v>
      </c>
      <c r="E164">
        <v>1.5</v>
      </c>
      <c r="F164">
        <v>1.25</v>
      </c>
      <c r="G164" s="11">
        <v>40.64</v>
      </c>
      <c r="H164" s="11">
        <f>offset+1.46</f>
        <v>7.41</v>
      </c>
      <c r="I164">
        <f t="shared" si="154"/>
        <v>8.1118110236220689E-2</v>
      </c>
      <c r="J164">
        <f t="shared" si="168"/>
        <v>5.4078740157480459E-2</v>
      </c>
      <c r="K164">
        <f t="shared" si="152"/>
        <v>3.173039682801821</v>
      </c>
      <c r="L164">
        <f t="shared" ref="L164:M164" si="176">L163</f>
        <v>0.20647273792554968</v>
      </c>
      <c r="M164">
        <f t="shared" si="176"/>
        <v>4.6630190717864304</v>
      </c>
      <c r="N164">
        <f t="shared" si="157"/>
        <v>4.0273229672112763</v>
      </c>
      <c r="O164">
        <f t="shared" si="158"/>
        <v>16.097141352127512</v>
      </c>
      <c r="P164">
        <f t="shared" si="159"/>
        <v>3.273963714339146E-2</v>
      </c>
      <c r="Q164">
        <f t="shared" si="160"/>
        <v>0.71276158140932788</v>
      </c>
    </row>
    <row r="165" spans="3:21">
      <c r="C165" s="129">
        <v>45126</v>
      </c>
      <c r="D165" s="64">
        <v>0.64583333333333337</v>
      </c>
      <c r="E165">
        <v>1.5</v>
      </c>
      <c r="F165">
        <v>1.25</v>
      </c>
      <c r="G165" s="11">
        <v>40.700000000000003</v>
      </c>
      <c r="H165" s="11">
        <f>offset+1.97</f>
        <v>7.92</v>
      </c>
      <c r="I165">
        <f t="shared" si="154"/>
        <v>0.10474015748031608</v>
      </c>
      <c r="J165">
        <f t="shared" si="168"/>
        <v>6.9826771653544048E-2</v>
      </c>
      <c r="K165">
        <f t="shared" si="152"/>
        <v>3.173039682801821</v>
      </c>
      <c r="L165">
        <f t="shared" ref="L165:M165" si="177">L164</f>
        <v>0.20647273792554968</v>
      </c>
      <c r="M165">
        <f t="shared" si="177"/>
        <v>4.6630190717864304</v>
      </c>
      <c r="N165">
        <f t="shared" si="157"/>
        <v>4.537322967211276</v>
      </c>
      <c r="O165">
        <f t="shared" si="158"/>
        <v>17.085998938030329</v>
      </c>
      <c r="P165">
        <f t="shared" si="159"/>
        <v>4.2273602531682844E-2</v>
      </c>
      <c r="Q165">
        <f t="shared" si="160"/>
        <v>0.75654697667291282</v>
      </c>
    </row>
    <row r="166" spans="3:21">
      <c r="C166" s="129">
        <v>45126</v>
      </c>
      <c r="D166" s="64">
        <v>0.64583333333333337</v>
      </c>
      <c r="E166">
        <v>1.5</v>
      </c>
      <c r="F166">
        <v>1.25</v>
      </c>
      <c r="G166" s="11">
        <v>40.799999999999997</v>
      </c>
      <c r="H166" s="11">
        <f>offset+2.595</f>
        <v>8.5449999999999999</v>
      </c>
      <c r="I166">
        <f t="shared" si="154"/>
        <v>0.14411023622047131</v>
      </c>
      <c r="J166">
        <f t="shared" si="168"/>
        <v>9.6073490813647536E-2</v>
      </c>
      <c r="K166">
        <f t="shared" si="152"/>
        <v>3.173039682801821</v>
      </c>
      <c r="L166">
        <f t="shared" ref="L166:M166" si="178">L165</f>
        <v>0.20647273792554968</v>
      </c>
      <c r="M166">
        <f t="shared" si="178"/>
        <v>4.6630190717864304</v>
      </c>
      <c r="N166">
        <f t="shared" si="157"/>
        <v>5.1623229672112769</v>
      </c>
      <c r="O166">
        <f t="shared" si="158"/>
        <v>18.224814394401211</v>
      </c>
      <c r="P166">
        <f t="shared" si="159"/>
        <v>5.8163544845500313E-2</v>
      </c>
      <c r="Q166">
        <f t="shared" si="160"/>
        <v>0.80697232163697474</v>
      </c>
    </row>
    <row r="167" spans="3:21">
      <c r="C167" s="129">
        <v>45126</v>
      </c>
      <c r="D167" s="64">
        <v>0.64583333333333337</v>
      </c>
      <c r="E167">
        <v>1.5</v>
      </c>
      <c r="F167">
        <v>1.25</v>
      </c>
      <c r="G167" s="11">
        <v>40.950000000000003</v>
      </c>
      <c r="H167" s="11">
        <f>offset+3.13</f>
        <v>9.08</v>
      </c>
      <c r="I167">
        <f t="shared" si="154"/>
        <v>0.20316535433070979</v>
      </c>
      <c r="J167">
        <f t="shared" ref="J167" si="179">I167/E167</f>
        <v>0.13544356955380651</v>
      </c>
      <c r="K167">
        <f t="shared" ref="K167" si="180">$H$4-F167*SIN(theta)/12</f>
        <v>3.173039682801821</v>
      </c>
      <c r="L167">
        <f t="shared" ref="L167:M167" si="181">L166</f>
        <v>0.20647273792554968</v>
      </c>
      <c r="M167">
        <f t="shared" si="181"/>
        <v>4.6630190717864304</v>
      </c>
      <c r="N167">
        <f t="shared" si="157"/>
        <v>5.6973229672112771</v>
      </c>
      <c r="O167">
        <f t="shared" si="158"/>
        <v>19.145907126860653</v>
      </c>
      <c r="P167">
        <f t="shared" si="159"/>
        <v>8.1998458316228776E-2</v>
      </c>
      <c r="Q167">
        <f t="shared" si="160"/>
        <v>0.84775717270158069</v>
      </c>
    </row>
    <row r="168" spans="3:21">
      <c r="C168" s="130">
        <v>45126</v>
      </c>
      <c r="D168" s="81">
        <v>0.64583333333333337</v>
      </c>
      <c r="E168" s="4">
        <v>1.5</v>
      </c>
      <c r="F168" s="4">
        <v>1.25</v>
      </c>
      <c r="G168" s="93">
        <v>44</v>
      </c>
      <c r="H168" s="93">
        <f>offset+6.06</f>
        <v>12.01</v>
      </c>
      <c r="I168" s="4">
        <f t="shared" si="154"/>
        <v>1.4039527559055118</v>
      </c>
      <c r="J168" s="4">
        <f t="shared" si="168"/>
        <v>0.93596850393700792</v>
      </c>
      <c r="K168" s="4">
        <f t="shared" si="152"/>
        <v>3.173039682801821</v>
      </c>
      <c r="L168" s="4">
        <f t="shared" ref="L168:M168" si="182">L167</f>
        <v>0.20647273792554968</v>
      </c>
      <c r="M168" s="4">
        <f t="shared" si="182"/>
        <v>4.6630190717864304</v>
      </c>
      <c r="N168" s="4">
        <f t="shared" si="157"/>
        <v>8.6273229672112777</v>
      </c>
      <c r="O168" s="4">
        <f t="shared" si="158"/>
        <v>23.560177412540291</v>
      </c>
      <c r="P168" s="4">
        <f t="shared" si="159"/>
        <v>0.56664169888768867</v>
      </c>
      <c r="Q168" s="4">
        <f t="shared" si="160"/>
        <v>1.0432156209293082</v>
      </c>
      <c r="R168" s="131"/>
    </row>
    <row r="169" spans="3:21">
      <c r="C169" s="129">
        <v>45126</v>
      </c>
      <c r="D169" s="64">
        <v>0.64583333333333337</v>
      </c>
      <c r="E169">
        <v>1.5</v>
      </c>
      <c r="F169">
        <v>1.5</v>
      </c>
      <c r="G169" s="11">
        <v>40.5</v>
      </c>
      <c r="H169" s="11">
        <f>offset+0.505</f>
        <v>6.4550000000000001</v>
      </c>
      <c r="I169">
        <f t="shared" si="154"/>
        <v>2.5999999999999999E-2</v>
      </c>
      <c r="J169">
        <f t="shared" si="168"/>
        <v>1.7333333333333333E-2</v>
      </c>
      <c r="K169">
        <f t="shared" ref="K169:K178" si="183">$H$4-F169*SIN(theta)/12</f>
        <v>3.1676476193621852</v>
      </c>
      <c r="L169">
        <f t="shared" ref="L169:M169" si="184">L168</f>
        <v>0.20647273792554968</v>
      </c>
      <c r="M169">
        <f t="shared" si="184"/>
        <v>4.6630190717864304</v>
      </c>
      <c r="N169">
        <f t="shared" si="157"/>
        <v>3.077715030650912</v>
      </c>
      <c r="O169">
        <f t="shared" si="158"/>
        <v>14.071964506495876</v>
      </c>
      <c r="P169">
        <f t="shared" si="159"/>
        <v>1.0493717904045652E-2</v>
      </c>
      <c r="Q169">
        <f t="shared" si="160"/>
        <v>0.6230892464555704</v>
      </c>
      <c r="R169" s="141">
        <f>(M169/L169)*F169/12/0.0000106</f>
        <v>266322.96836272639</v>
      </c>
      <c r="S169">
        <v>0.08</v>
      </c>
      <c r="T169">
        <f>S169*L169*12</f>
        <v>0.19821382840852769</v>
      </c>
      <c r="U169" s="75">
        <f>O169/O$138-1</f>
        <v>-7.0248078579882023E-2</v>
      </c>
    </row>
    <row r="170" spans="3:21">
      <c r="C170" s="129">
        <v>45126</v>
      </c>
      <c r="D170" s="64">
        <v>0.64583333333333337</v>
      </c>
      <c r="E170">
        <v>1.5</v>
      </c>
      <c r="F170">
        <v>1.5</v>
      </c>
      <c r="G170" s="11">
        <v>40.520000000000003</v>
      </c>
      <c r="H170" s="11">
        <f>offset+0.47</f>
        <v>6.42</v>
      </c>
      <c r="I170">
        <f t="shared" si="154"/>
        <v>3.3874015748032726E-2</v>
      </c>
      <c r="J170">
        <f t="shared" si="168"/>
        <v>2.2582677165355152E-2</v>
      </c>
      <c r="K170">
        <f t="shared" si="183"/>
        <v>3.1676476193621852</v>
      </c>
      <c r="L170">
        <f t="shared" ref="L170:M170" si="185">L169</f>
        <v>0.20647273792554968</v>
      </c>
      <c r="M170">
        <f t="shared" si="185"/>
        <v>4.6630190717864304</v>
      </c>
      <c r="N170">
        <f t="shared" si="157"/>
        <v>3.0427150306509119</v>
      </c>
      <c r="O170">
        <f t="shared" si="158"/>
        <v>13.991722019539971</v>
      </c>
      <c r="P170">
        <f t="shared" si="159"/>
        <v>1.3671706366809824E-2</v>
      </c>
      <c r="Q170">
        <f t="shared" si="160"/>
        <v>0.61953620802174003</v>
      </c>
    </row>
    <row r="171" spans="3:21">
      <c r="C171" s="129">
        <v>45126</v>
      </c>
      <c r="D171" s="64">
        <v>0.64583333333333337</v>
      </c>
      <c r="E171">
        <v>1.5</v>
      </c>
      <c r="F171">
        <v>1.5</v>
      </c>
      <c r="G171" s="11">
        <v>40.54</v>
      </c>
      <c r="H171" s="11">
        <f>offset+0.465</f>
        <v>6.415</v>
      </c>
      <c r="I171">
        <f t="shared" si="154"/>
        <v>4.1748031496062654E-2</v>
      </c>
      <c r="J171">
        <f t="shared" si="168"/>
        <v>2.7832020997375102E-2</v>
      </c>
      <c r="K171">
        <f t="shared" si="183"/>
        <v>3.1676476193621852</v>
      </c>
      <c r="L171">
        <f t="shared" ref="L171:M171" si="186">L170</f>
        <v>0.20647273792554968</v>
      </c>
      <c r="M171">
        <f t="shared" si="186"/>
        <v>4.6630190717864304</v>
      </c>
      <c r="N171">
        <f t="shared" si="157"/>
        <v>3.037715030650912</v>
      </c>
      <c r="O171">
        <f t="shared" si="158"/>
        <v>13.980221209697639</v>
      </c>
      <c r="P171">
        <f t="shared" si="159"/>
        <v>1.6849694829572864E-2</v>
      </c>
      <c r="Q171">
        <f t="shared" si="160"/>
        <v>0.61902696633519516</v>
      </c>
    </row>
    <row r="172" spans="3:21">
      <c r="C172" s="129">
        <v>45126</v>
      </c>
      <c r="D172" s="64">
        <v>0.64583333333333337</v>
      </c>
      <c r="E172">
        <v>1.5</v>
      </c>
      <c r="F172">
        <v>1.5</v>
      </c>
      <c r="G172" s="11">
        <v>40.56</v>
      </c>
      <c r="H172" s="11">
        <f>offset+0.505</f>
        <v>6.4550000000000001</v>
      </c>
      <c r="I172">
        <f t="shared" si="154"/>
        <v>4.9622047244095385E-2</v>
      </c>
      <c r="J172">
        <f t="shared" si="168"/>
        <v>3.3081364829396921E-2</v>
      </c>
      <c r="K172">
        <f t="shared" si="183"/>
        <v>3.1676476193621852</v>
      </c>
      <c r="L172">
        <f t="shared" ref="L172:M172" si="187">L171</f>
        <v>0.20647273792554968</v>
      </c>
      <c r="M172">
        <f t="shared" si="187"/>
        <v>4.6630190717864304</v>
      </c>
      <c r="N172">
        <f t="shared" si="157"/>
        <v>3.077715030650912</v>
      </c>
      <c r="O172">
        <f t="shared" si="158"/>
        <v>14.071964506495876</v>
      </c>
      <c r="P172">
        <f t="shared" si="159"/>
        <v>2.0027683292337038E-2</v>
      </c>
      <c r="Q172">
        <f t="shared" si="160"/>
        <v>0.6230892464555704</v>
      </c>
    </row>
    <row r="173" spans="3:21">
      <c r="C173" s="129">
        <v>45126</v>
      </c>
      <c r="D173" s="64">
        <v>0.64583333333333337</v>
      </c>
      <c r="E173">
        <v>1.5</v>
      </c>
      <c r="F173">
        <v>1.5</v>
      </c>
      <c r="G173" s="11">
        <v>40.58</v>
      </c>
      <c r="H173" s="11">
        <f>offset+0.615</f>
        <v>6.5650000000000004</v>
      </c>
      <c r="I173">
        <f t="shared" si="154"/>
        <v>5.7496062992125313E-2</v>
      </c>
      <c r="J173">
        <f t="shared" si="168"/>
        <v>3.8330708661416878E-2</v>
      </c>
      <c r="K173">
        <f t="shared" si="183"/>
        <v>3.1676476193621852</v>
      </c>
      <c r="L173">
        <f t="shared" ref="L173:M173" si="188">L172</f>
        <v>0.20647273792554968</v>
      </c>
      <c r="M173">
        <f t="shared" si="188"/>
        <v>4.6630190717864304</v>
      </c>
      <c r="N173">
        <f t="shared" si="157"/>
        <v>3.1877150306509123</v>
      </c>
      <c r="O173">
        <f t="shared" si="158"/>
        <v>14.321228476359131</v>
      </c>
      <c r="P173">
        <f t="shared" si="159"/>
        <v>2.320567175510008E-2</v>
      </c>
      <c r="Q173">
        <f t="shared" si="160"/>
        <v>0.63412634785523092</v>
      </c>
    </row>
    <row r="174" spans="3:21">
      <c r="C174" s="129">
        <v>45126</v>
      </c>
      <c r="D174" s="64">
        <v>0.64583333333333337</v>
      </c>
      <c r="E174">
        <v>1.5</v>
      </c>
      <c r="F174">
        <v>1.5</v>
      </c>
      <c r="G174" s="11">
        <v>40.6</v>
      </c>
      <c r="H174" s="11">
        <f>offset+0.785</f>
        <v>6.7350000000000003</v>
      </c>
      <c r="I174">
        <f t="shared" si="154"/>
        <v>6.5370078740158044E-2</v>
      </c>
      <c r="J174">
        <f t="shared" si="168"/>
        <v>4.3580052493438694E-2</v>
      </c>
      <c r="K174">
        <f t="shared" si="183"/>
        <v>3.1676476193621852</v>
      </c>
      <c r="L174">
        <f t="shared" ref="L174:M174" si="189">L173</f>
        <v>0.20647273792554968</v>
      </c>
      <c r="M174">
        <f t="shared" si="189"/>
        <v>4.6630190717864304</v>
      </c>
      <c r="N174">
        <f t="shared" si="157"/>
        <v>3.3577150306509123</v>
      </c>
      <c r="O174">
        <f t="shared" si="158"/>
        <v>14.698142231999244</v>
      </c>
      <c r="P174">
        <f t="shared" si="159"/>
        <v>2.6383660217864251E-2</v>
      </c>
      <c r="Q174">
        <f t="shared" si="160"/>
        <v>0.65081562445709595</v>
      </c>
    </row>
    <row r="175" spans="3:21">
      <c r="C175" s="129">
        <v>45126</v>
      </c>
      <c r="D175" s="64">
        <v>0.64583333333333337</v>
      </c>
      <c r="E175">
        <v>1.5</v>
      </c>
      <c r="F175">
        <v>1.5</v>
      </c>
      <c r="G175" s="11">
        <v>40.65</v>
      </c>
      <c r="H175" s="11">
        <f>offset+1.215</f>
        <v>7.165</v>
      </c>
      <c r="I175">
        <f t="shared" si="154"/>
        <v>8.5055118110235653E-2</v>
      </c>
      <c r="J175">
        <f t="shared" si="168"/>
        <v>5.6703412073490438E-2</v>
      </c>
      <c r="K175">
        <f t="shared" si="183"/>
        <v>3.1676476193621852</v>
      </c>
      <c r="L175">
        <f t="shared" ref="L175:M175" si="190">L174</f>
        <v>0.20647273792554968</v>
      </c>
      <c r="M175">
        <f t="shared" si="190"/>
        <v>4.6630190717864304</v>
      </c>
      <c r="N175">
        <f t="shared" si="157"/>
        <v>3.787715030650912</v>
      </c>
      <c r="O175">
        <f t="shared" si="158"/>
        <v>15.610944400390379</v>
      </c>
      <c r="P175">
        <f t="shared" si="159"/>
        <v>3.4328631374772982E-2</v>
      </c>
      <c r="Q175">
        <f t="shared" si="160"/>
        <v>0.69123337956181463</v>
      </c>
    </row>
    <row r="176" spans="3:21">
      <c r="C176" s="129">
        <v>45126</v>
      </c>
      <c r="D176" s="64">
        <v>0.64583333333333337</v>
      </c>
      <c r="E176">
        <v>1.5</v>
      </c>
      <c r="F176">
        <v>1.5</v>
      </c>
      <c r="G176" s="11">
        <v>40.799999999999997</v>
      </c>
      <c r="H176" s="11">
        <f>offset+2.265</f>
        <v>8.2149999999999999</v>
      </c>
      <c r="I176">
        <f t="shared" si="154"/>
        <v>0.14411023622047131</v>
      </c>
      <c r="J176">
        <f t="shared" si="168"/>
        <v>9.6073490813647536E-2</v>
      </c>
      <c r="K176">
        <f t="shared" si="183"/>
        <v>3.1676476193621852</v>
      </c>
      <c r="L176">
        <f t="shared" ref="L176:M176" si="191">L175</f>
        <v>0.20647273792554968</v>
      </c>
      <c r="M176">
        <f t="shared" si="191"/>
        <v>4.6630190717864304</v>
      </c>
      <c r="N176">
        <f t="shared" si="157"/>
        <v>4.8377150306509122</v>
      </c>
      <c r="O176">
        <f t="shared" si="158"/>
        <v>17.642522072313803</v>
      </c>
      <c r="P176">
        <f t="shared" si="159"/>
        <v>5.8163544845500313E-2</v>
      </c>
      <c r="Q176">
        <f t="shared" si="160"/>
        <v>0.78118913521557476</v>
      </c>
    </row>
    <row r="177" spans="3:18">
      <c r="C177" s="129">
        <v>45126</v>
      </c>
      <c r="D177" s="64">
        <v>0.64583333333333337</v>
      </c>
      <c r="E177">
        <v>1.5</v>
      </c>
      <c r="F177">
        <v>1.5</v>
      </c>
      <c r="G177" s="11">
        <v>40.950000000000003</v>
      </c>
      <c r="H177" s="11">
        <f>offset+2.93</f>
        <v>8.8800000000000008</v>
      </c>
      <c r="I177">
        <f t="shared" si="154"/>
        <v>0.20316535433070979</v>
      </c>
      <c r="J177">
        <f t="shared" si="168"/>
        <v>0.13544356955380651</v>
      </c>
      <c r="K177">
        <f t="shared" si="183"/>
        <v>3.1676476193621852</v>
      </c>
      <c r="L177">
        <f t="shared" ref="L177:M177" si="192">L176</f>
        <v>0.20647273792554968</v>
      </c>
      <c r="M177">
        <f t="shared" si="192"/>
        <v>4.6630190717864304</v>
      </c>
      <c r="N177">
        <f t="shared" si="157"/>
        <v>5.5027150306509132</v>
      </c>
      <c r="O177">
        <f t="shared" si="158"/>
        <v>18.816075177147855</v>
      </c>
      <c r="P177">
        <f t="shared" si="159"/>
        <v>8.1998458316228776E-2</v>
      </c>
      <c r="Q177">
        <f t="shared" si="160"/>
        <v>0.83315262044388783</v>
      </c>
    </row>
    <row r="178" spans="3:18">
      <c r="C178" s="130">
        <v>45126</v>
      </c>
      <c r="D178" s="81">
        <v>0.64583333333333337</v>
      </c>
      <c r="E178" s="4">
        <v>1.5</v>
      </c>
      <c r="F178" s="4">
        <v>1.5</v>
      </c>
      <c r="G178" s="93">
        <v>44.5</v>
      </c>
      <c r="H178" s="93">
        <f>offset+6.21</f>
        <v>12.16</v>
      </c>
      <c r="I178" s="4">
        <f t="shared" si="154"/>
        <v>1.6008031496062991</v>
      </c>
      <c r="J178" s="4">
        <f t="shared" si="168"/>
        <v>1.0672020997375327</v>
      </c>
      <c r="K178" s="4">
        <f t="shared" si="183"/>
        <v>3.1676476193621852</v>
      </c>
      <c r="L178" s="4">
        <f t="shared" ref="L178:M178" si="193">L177</f>
        <v>0.20647273792554968</v>
      </c>
      <c r="M178" s="4">
        <f t="shared" si="193"/>
        <v>4.6630190717864304</v>
      </c>
      <c r="N178" s="4">
        <f t="shared" si="157"/>
        <v>8.7827150306509125</v>
      </c>
      <c r="O178" s="4">
        <f t="shared" si="158"/>
        <v>23.771408983736737</v>
      </c>
      <c r="P178" s="4">
        <f t="shared" si="159"/>
        <v>0.64609141045678042</v>
      </c>
      <c r="Q178" s="4">
        <f t="shared" si="160"/>
        <v>1.0525686945860575</v>
      </c>
      <c r="R178" s="131"/>
    </row>
  </sheetData>
  <pageMargins left="0.7" right="0.7" top="0.75" bottom="0.7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AABF8-E362-4C59-A9E5-A9CA63EA34CE}">
  <dimension ref="A1:J21"/>
  <sheetViews>
    <sheetView workbookViewId="0"/>
  </sheetViews>
  <sheetFormatPr defaultRowHeight="15"/>
  <sheetData>
    <row r="1" spans="1:10">
      <c r="I1">
        <f>G21</f>
        <v>0.11487534846291676</v>
      </c>
    </row>
    <row r="2" spans="1:10" ht="18">
      <c r="A2" t="s">
        <v>5</v>
      </c>
      <c r="C2" t="s">
        <v>11</v>
      </c>
      <c r="D2" s="1" t="s">
        <v>130</v>
      </c>
      <c r="E2" s="1" t="s">
        <v>195</v>
      </c>
      <c r="F2" t="s">
        <v>12</v>
      </c>
      <c r="G2" t="s">
        <v>13</v>
      </c>
      <c r="I2" t="s">
        <v>207</v>
      </c>
    </row>
    <row r="3" spans="1:10">
      <c r="A3">
        <v>3</v>
      </c>
      <c r="C3" s="3">
        <f>'Gap Profiles DATA'!$F$16</f>
        <v>0.75</v>
      </c>
      <c r="D3">
        <f>'Gap Profiles DATA'!$M$16/'Gap Profiles DATA'!$L$16</f>
        <v>17.77823778871333</v>
      </c>
      <c r="E3" s="141">
        <f>D3*C3/12/0.0000107</f>
        <v>103844.84689669003</v>
      </c>
      <c r="F3" s="147">
        <f>'Gap Profiles DATA'!$T$16</f>
        <v>6.0051250472739806E-2</v>
      </c>
      <c r="G3" s="3">
        <f>F3/C3</f>
        <v>8.0068333963653079E-2</v>
      </c>
      <c r="I3">
        <v>0</v>
      </c>
      <c r="J3">
        <f>I3*I1</f>
        <v>0</v>
      </c>
    </row>
    <row r="4" spans="1:10">
      <c r="A4">
        <v>3</v>
      </c>
      <c r="C4" s="27">
        <f>'Gap Profiles DATA'!$F$52</f>
        <v>0.75</v>
      </c>
      <c r="D4">
        <f>'Gap Profiles DATA'!$M$52/'Gap Profiles DATA'!$L$52</f>
        <v>17.964607465486953</v>
      </c>
      <c r="E4" s="141">
        <f t="shared" ref="E4:E5" si="0">D4*C4/12/0.0000107</f>
        <v>104933.4548217696</v>
      </c>
      <c r="F4" s="27">
        <f>'Gap Profiles DATA'!$T$52</f>
        <v>5.9445962913246553E-2</v>
      </c>
      <c r="G4" s="27">
        <f>F4/C4</f>
        <v>7.9261283884328737E-2</v>
      </c>
      <c r="I4">
        <v>3</v>
      </c>
      <c r="J4">
        <f>I4*I1</f>
        <v>0.3446260453887503</v>
      </c>
    </row>
    <row r="5" spans="1:10">
      <c r="A5">
        <v>13</v>
      </c>
      <c r="C5" s="41">
        <f>'Gap Profiles DATA'!$F$111</f>
        <v>0.75</v>
      </c>
      <c r="D5">
        <f>'Gap Profiles DATA'!$M$111/'Gap Profiles DATA'!$L$111</f>
        <v>24.795199762245431</v>
      </c>
      <c r="E5" s="141">
        <f t="shared" si="0"/>
        <v>144831.77431218128</v>
      </c>
      <c r="F5" s="41">
        <f>'Gap Profiles DATA'!$T$111</f>
        <v>9.3329862847676609E-2</v>
      </c>
      <c r="G5" s="41">
        <f>F5/C5</f>
        <v>0.12443981713023548</v>
      </c>
    </row>
    <row r="6" spans="1:10">
      <c r="A6">
        <v>13</v>
      </c>
      <c r="C6" s="41">
        <f>'Gap Profiles DATA'!$F$120</f>
        <v>1.5</v>
      </c>
      <c r="D6">
        <f>'Gap Profiles DATA'!$M$120/'Gap Profiles DATA'!$L$120</f>
        <v>24.795199762245431</v>
      </c>
      <c r="E6" s="141">
        <f t="shared" ref="E6:E7" si="1">D6*C6/12/0.0000107</f>
        <v>289663.54862436256</v>
      </c>
      <c r="F6" s="41">
        <f>'Gap Profiles DATA'!$T$120</f>
        <v>0.15554977141279436</v>
      </c>
      <c r="G6" s="41">
        <f t="shared" ref="G6:G7" si="2">F6/C6</f>
        <v>0.10369984760852957</v>
      </c>
    </row>
    <row r="7" spans="1:10">
      <c r="A7">
        <v>13</v>
      </c>
      <c r="C7" s="41">
        <f>'Gap Profiles DATA'!$F$128</f>
        <v>2.5</v>
      </c>
      <c r="D7">
        <f>'Gap Profiles DATA'!$M$128/'Gap Profiles DATA'!$L$128</f>
        <v>24.795199762245431</v>
      </c>
      <c r="E7" s="141">
        <f t="shared" si="1"/>
        <v>482772.58104060427</v>
      </c>
      <c r="F7" s="41">
        <f>'Gap Profiles DATA'!$T$128</f>
        <v>0.31109954282558872</v>
      </c>
      <c r="G7" s="41">
        <f t="shared" si="2"/>
        <v>0.12443981713023548</v>
      </c>
    </row>
    <row r="8" spans="1:10">
      <c r="A8">
        <v>3</v>
      </c>
      <c r="C8" s="41">
        <f>'Gap Profiles DATA'!$F$83</f>
        <v>0.5</v>
      </c>
      <c r="D8">
        <f>'Gap Profiles DATA'!$M$83/'Gap Profiles DATA'!$L$83</f>
        <v>18.054453346045285</v>
      </c>
      <c r="E8" s="141">
        <f t="shared" ref="E8" si="3">D8*C8/12/0.0000107</f>
        <v>70305.503683976975</v>
      </c>
      <c r="F8" s="41">
        <f>'Gap Profiles DATA'!$T$83</f>
        <v>5.9392449743886633E-2</v>
      </c>
      <c r="G8" s="41">
        <f t="shared" ref="G8:G13" si="4">F8/C8</f>
        <v>0.11878489948777327</v>
      </c>
    </row>
    <row r="9" spans="1:10">
      <c r="A9">
        <v>3</v>
      </c>
      <c r="C9" s="41">
        <f>'Gap Profiles DATA'!$F$88</f>
        <v>1</v>
      </c>
      <c r="D9">
        <f>'Gap Profiles DATA'!$M$88/'Gap Profiles DATA'!$L$88</f>
        <v>18.054453346045285</v>
      </c>
      <c r="E9" s="141">
        <f t="shared" ref="E9" si="5">D9*C9/12/0.0000107</f>
        <v>140611.00736795395</v>
      </c>
      <c r="F9" s="41">
        <f>'Gap Profiles DATA'!$T$88</f>
        <v>9.8987416239811055E-2</v>
      </c>
      <c r="G9" s="41">
        <f t="shared" si="4"/>
        <v>9.8987416239811055E-2</v>
      </c>
    </row>
    <row r="10" spans="1:10">
      <c r="A10">
        <v>3</v>
      </c>
      <c r="C10" s="41">
        <f>'Gap Profiles DATA'!$F$59</f>
        <v>1</v>
      </c>
      <c r="D10">
        <f>'Gap Profiles DATA'!$M$59/'Gap Profiles DATA'!$L$59</f>
        <v>17.964607465486953</v>
      </c>
      <c r="E10" s="141">
        <f t="shared" ref="E10" si="6">D10*C10/12/0.0000107</f>
        <v>139911.2730956928</v>
      </c>
      <c r="F10" s="41">
        <f>'Gap Profiles DATA'!$T$59</f>
        <v>0.13870724679757532</v>
      </c>
      <c r="G10" s="41">
        <f t="shared" si="4"/>
        <v>0.13870724679757532</v>
      </c>
    </row>
    <row r="11" spans="1:10">
      <c r="A11">
        <v>3</v>
      </c>
      <c r="C11" s="41">
        <f>'Gap Profiles DATA'!$F$26</f>
        <v>1.5</v>
      </c>
      <c r="D11">
        <f>'Gap Profiles DATA'!$M$26/'Gap Profiles DATA'!$L$26</f>
        <v>17.77823778871333</v>
      </c>
      <c r="E11" s="141">
        <f t="shared" ref="E11" si="7">D11*C11/12/0.0000107</f>
        <v>207689.69379338005</v>
      </c>
      <c r="F11" s="41">
        <f>'Gap Profiles DATA'!$T$26</f>
        <v>0.15012812618184954</v>
      </c>
      <c r="G11" s="41">
        <f t="shared" si="4"/>
        <v>0.10008541745456635</v>
      </c>
    </row>
    <row r="12" spans="1:10">
      <c r="A12">
        <v>3</v>
      </c>
      <c r="C12" s="41">
        <f>'Gap Profiles DATA'!$F$33</f>
        <v>2.25</v>
      </c>
      <c r="D12">
        <f>'Gap Profiles DATA'!$M$33/'Gap Profiles DATA'!$L$33</f>
        <v>17.77823778871333</v>
      </c>
      <c r="E12" s="141">
        <f t="shared" ref="E12" si="8">D12*C12/12/0.0000107</f>
        <v>311534.54069007008</v>
      </c>
      <c r="F12" s="41">
        <f>'Gap Profiles DATA'!$T$33</f>
        <v>0.22018791840004598</v>
      </c>
      <c r="G12" s="41">
        <f t="shared" si="4"/>
        <v>9.78612970666871E-2</v>
      </c>
    </row>
    <row r="13" spans="1:10">
      <c r="A13">
        <v>3</v>
      </c>
      <c r="C13" s="41">
        <f>'Gap Profiles DATA'!$F$66</f>
        <v>2.5</v>
      </c>
      <c r="D13">
        <f>'Gap Profiles DATA'!$M$66/'Gap Profiles DATA'!$L$66</f>
        <v>17.964607465486953</v>
      </c>
      <c r="E13" s="141">
        <f t="shared" ref="E13:E18" si="9">D13*C13/12/0.0000107</f>
        <v>349778.18273923197</v>
      </c>
      <c r="F13" s="41">
        <f>'Gap Profiles DATA'!$T$66</f>
        <v>0.27741449359515064</v>
      </c>
      <c r="G13" s="41">
        <f t="shared" si="4"/>
        <v>0.11096579743806026</v>
      </c>
    </row>
    <row r="14" spans="1:10">
      <c r="A14">
        <v>3</v>
      </c>
      <c r="C14" s="3">
        <f>'Gap Profiles DATA'!$F$40</f>
        <v>3</v>
      </c>
      <c r="D14">
        <f>'Gap Profiles DATA'!$M$40/'Gap Profiles DATA'!$L$40</f>
        <v>17.77823778871333</v>
      </c>
      <c r="E14" s="141">
        <f t="shared" si="9"/>
        <v>415379.3875867601</v>
      </c>
      <c r="F14" s="3">
        <f>'Gap Profiles DATA'!$T$40</f>
        <v>0.29024771061824239</v>
      </c>
      <c r="G14" s="3">
        <f t="shared" ref="G14:G18" si="10">F14/C14</f>
        <v>9.674923687274746E-2</v>
      </c>
    </row>
    <row r="15" spans="1:10">
      <c r="A15">
        <v>9.33</v>
      </c>
      <c r="C15" s="41">
        <f>'Gap Profiles DATA'!F143</f>
        <v>0.5</v>
      </c>
      <c r="D15">
        <f>'Gap Profiles DATA'!$M$143/'Gap Profiles DATA'!$L$143</f>
        <v>22.584187717159203</v>
      </c>
      <c r="E15" s="141">
        <f t="shared" si="9"/>
        <v>87944.656219467302</v>
      </c>
      <c r="F15" s="41">
        <f>'Gap Profiles DATA'!$T$143</f>
        <v>0.11149527847979682</v>
      </c>
      <c r="G15" s="41">
        <f t="shared" si="10"/>
        <v>0.22299055695959363</v>
      </c>
    </row>
    <row r="16" spans="1:10">
      <c r="A16">
        <v>9.33</v>
      </c>
      <c r="C16" s="41">
        <f>'Gap Profiles DATA'!F150</f>
        <v>1</v>
      </c>
      <c r="D16">
        <f>'Gap Profiles DATA'!$M$150/'Gap Profiles DATA'!$L$150</f>
        <v>22.584187717159203</v>
      </c>
      <c r="E16" s="141">
        <f t="shared" si="9"/>
        <v>175889.3124389346</v>
      </c>
      <c r="F16" s="41">
        <f>'Gap Profiles DATA'!$T$150</f>
        <v>0.14866037130639576</v>
      </c>
      <c r="G16" s="41">
        <f t="shared" si="10"/>
        <v>0.14866037130639576</v>
      </c>
    </row>
    <row r="17" spans="1:7">
      <c r="A17">
        <v>9.33</v>
      </c>
      <c r="C17" s="41">
        <f>'Gap Profiles DATA'!F158</f>
        <v>1.25</v>
      </c>
      <c r="D17">
        <f>'Gap Profiles DATA'!$M$158/'Gap Profiles DATA'!$L$158</f>
        <v>22.584187717159203</v>
      </c>
      <c r="E17" s="141">
        <f t="shared" si="9"/>
        <v>219861.64054866831</v>
      </c>
      <c r="F17" s="41">
        <f>'Gap Profiles DATA'!$T$158</f>
        <v>0.14866037130639576</v>
      </c>
      <c r="G17" s="41">
        <f t="shared" si="10"/>
        <v>0.11892829704511661</v>
      </c>
    </row>
    <row r="18" spans="1:7">
      <c r="A18">
        <v>9.33</v>
      </c>
      <c r="C18" s="41">
        <f>'Gap Profiles DATA'!F169</f>
        <v>1.5</v>
      </c>
      <c r="D18">
        <f>'Gap Profiles DATA'!$M$169/'Gap Profiles DATA'!$L$169</f>
        <v>22.584187717159203</v>
      </c>
      <c r="E18" s="141">
        <f t="shared" si="9"/>
        <v>263833.96865840186</v>
      </c>
      <c r="F18" s="41">
        <f>'Gap Profiles DATA'!$T$169</f>
        <v>0.19821382840852769</v>
      </c>
      <c r="G18" s="41">
        <f t="shared" si="10"/>
        <v>0.1321425522723518</v>
      </c>
    </row>
    <row r="20" spans="1:7">
      <c r="F20" t="s">
        <v>205</v>
      </c>
      <c r="G20" s="41">
        <f>AVERAGE(G3:G18)</f>
        <v>0.1185482617911038</v>
      </c>
    </row>
    <row r="21" spans="1:7">
      <c r="F21" t="s">
        <v>206</v>
      </c>
      <c r="G21" s="41">
        <f>MEDIAN(G3:G18)</f>
        <v>0.11487534846291676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439ED-9AB1-4D15-BA71-61D0FACCB8C3}">
  <dimension ref="A1:DP87"/>
  <sheetViews>
    <sheetView zoomScaleNormal="100" workbookViewId="0">
      <pane xSplit="3" ySplit="9" topLeftCell="D43" activePane="bottomRight" state="frozen"/>
      <selection pane="topRight" activeCell="D1" sqref="D1"/>
      <selection pane="bottomLeft" activeCell="A10" sqref="A10"/>
      <selection pane="bottomRight" activeCell="I31" sqref="I31"/>
    </sheetView>
  </sheetViews>
  <sheetFormatPr defaultRowHeight="15"/>
  <cols>
    <col min="1" max="1" width="16.5703125" customWidth="1"/>
    <col min="2" max="2" width="12" customWidth="1"/>
    <col min="5" max="5" width="14.85546875" customWidth="1"/>
    <col min="14" max="14" width="14" customWidth="1"/>
    <col min="15" max="15" width="11.7109375" customWidth="1"/>
    <col min="16" max="16" width="17.7109375" customWidth="1"/>
    <col min="17" max="17" width="17.42578125" customWidth="1"/>
    <col min="19" max="19" width="12.42578125" customWidth="1"/>
    <col min="20" max="20" width="10.42578125" customWidth="1"/>
    <col min="21" max="23" width="11.42578125" customWidth="1"/>
    <col min="24" max="24" width="17.7109375" customWidth="1"/>
    <col min="25" max="25" width="13.28515625" customWidth="1"/>
    <col min="26" max="26" width="16.5703125" customWidth="1"/>
    <col min="27" max="27" width="14.28515625" customWidth="1"/>
    <col min="29" max="29" width="12.140625" customWidth="1"/>
    <col min="33" max="33" width="16.7109375" bestFit="1" customWidth="1"/>
    <col min="34" max="34" width="10.85546875" customWidth="1"/>
    <col min="35" max="35" width="15.7109375" bestFit="1" customWidth="1"/>
    <col min="44" max="44" width="15.5703125" customWidth="1"/>
    <col min="45" max="45" width="12.28515625" customWidth="1"/>
    <col min="47" max="47" width="18.42578125" customWidth="1"/>
    <col min="48" max="48" width="12.140625" customWidth="1"/>
    <col min="50" max="50" width="20.5703125" customWidth="1"/>
    <col min="51" max="51" width="13.7109375" customWidth="1"/>
    <col min="53" max="53" width="19.140625" customWidth="1"/>
    <col min="54" max="54" width="17.85546875" customWidth="1"/>
    <col min="55" max="59" width="12.42578125" customWidth="1"/>
    <col min="60" max="60" width="10.5703125" customWidth="1"/>
    <col min="61" max="70" width="12.42578125" customWidth="1"/>
    <col min="71" max="72" width="16.28515625" customWidth="1"/>
    <col min="79" max="79" width="28.28515625" customWidth="1"/>
    <col min="80" max="80" width="13.28515625" customWidth="1"/>
    <col min="81" max="81" width="19.28515625" customWidth="1"/>
    <col min="82" max="86" width="11.85546875" customWidth="1"/>
    <col min="87" max="87" width="18.28515625" customWidth="1"/>
    <col min="88" max="88" width="18.140625" customWidth="1"/>
    <col min="89" max="89" width="11.85546875" customWidth="1"/>
    <col min="90" max="90" width="14.7109375" customWidth="1"/>
    <col min="91" max="91" width="15.85546875" customWidth="1"/>
    <col min="92" max="92" width="12.140625" customWidth="1"/>
    <col min="93" max="93" width="11.140625" customWidth="1"/>
    <col min="94" max="94" width="7.42578125" customWidth="1"/>
    <col min="95" max="98" width="11.42578125" customWidth="1"/>
    <col min="99" max="99" width="16.7109375" customWidth="1"/>
    <col min="100" max="100" width="52.28515625" customWidth="1"/>
    <col min="101" max="101" width="17.28515625" customWidth="1"/>
    <col min="102" max="102" width="15.28515625" customWidth="1"/>
    <col min="104" max="104" width="18.85546875" bestFit="1" customWidth="1"/>
    <col min="105" max="105" width="16.7109375" bestFit="1" customWidth="1"/>
    <col min="106" max="106" width="10.7109375" customWidth="1"/>
    <col min="107" max="107" width="11.42578125" customWidth="1"/>
    <col min="108" max="108" width="9.7109375" customWidth="1"/>
    <col min="109" max="109" width="11.28515625" customWidth="1"/>
    <col min="110" max="110" width="8.7109375" customWidth="1"/>
  </cols>
  <sheetData>
    <row r="1" spans="1:120" ht="23.25">
      <c r="A1" s="19" t="s">
        <v>24</v>
      </c>
      <c r="AD1" s="1" t="s">
        <v>25</v>
      </c>
      <c r="AT1" t="s">
        <v>26</v>
      </c>
      <c r="CE1" t="s">
        <v>27</v>
      </c>
      <c r="CI1" s="1" t="s">
        <v>28</v>
      </c>
      <c r="CW1" t="s">
        <v>29</v>
      </c>
      <c r="CX1" t="s">
        <v>30</v>
      </c>
    </row>
    <row r="2" spans="1:120" ht="23.25">
      <c r="A2" s="19"/>
      <c r="AD2" s="20">
        <f>0.964203^0</f>
        <v>1</v>
      </c>
      <c r="BR2" s="1" t="s">
        <v>31</v>
      </c>
      <c r="CI2" s="1"/>
      <c r="CV2" s="21" t="s">
        <v>32</v>
      </c>
      <c r="CW2" s="22">
        <v>0</v>
      </c>
      <c r="CX2" s="23">
        <v>0</v>
      </c>
      <c r="CY2" s="24" t="s">
        <v>33</v>
      </c>
    </row>
    <row r="3" spans="1:120" ht="17.25">
      <c r="B3" s="1" t="s">
        <v>34</v>
      </c>
      <c r="I3">
        <v>2.0400000000000001E-2</v>
      </c>
      <c r="J3" t="s">
        <v>6</v>
      </c>
      <c r="K3" s="1" t="s">
        <v>35</v>
      </c>
      <c r="Q3" s="1" t="s">
        <v>36</v>
      </c>
      <c r="S3" t="s">
        <v>37</v>
      </c>
      <c r="T3" s="25">
        <v>1.2E-5</v>
      </c>
      <c r="U3" s="1" t="s">
        <v>38</v>
      </c>
      <c r="V3" s="1"/>
      <c r="W3" s="1"/>
      <c r="AT3" s="26" t="e">
        <f>AG3*(J3/12)^(1+AH3)/(1+AH3)/(J3/12)</f>
        <v>#VALUE!</v>
      </c>
      <c r="BH3" t="s">
        <v>39</v>
      </c>
      <c r="BR3">
        <f>CX2</f>
        <v>0</v>
      </c>
      <c r="CE3" s="27">
        <f>CM73</f>
        <v>0</v>
      </c>
      <c r="CI3" s="3">
        <v>0</v>
      </c>
      <c r="CV3" s="9" t="s">
        <v>40</v>
      </c>
      <c r="CW3" s="28">
        <v>1</v>
      </c>
      <c r="CX3" s="29">
        <v>1</v>
      </c>
    </row>
    <row r="4" spans="1:120">
      <c r="B4" t="s">
        <v>41</v>
      </c>
      <c r="G4" s="18">
        <v>3.2</v>
      </c>
      <c r="H4" t="s">
        <v>6</v>
      </c>
      <c r="I4">
        <f>3.2-(1.5/12)*SIN(theta)</f>
        <v>3.1676476193621852</v>
      </c>
      <c r="AT4" t="s">
        <v>42</v>
      </c>
      <c r="BE4" t="s">
        <v>42</v>
      </c>
      <c r="BH4" s="30" t="s">
        <v>43</v>
      </c>
      <c r="CC4" t="s">
        <v>44</v>
      </c>
      <c r="CE4" t="s">
        <v>45</v>
      </c>
      <c r="CV4" s="9" t="s">
        <v>46</v>
      </c>
      <c r="CW4">
        <v>0</v>
      </c>
      <c r="CX4" s="31"/>
      <c r="CZ4" s="1"/>
    </row>
    <row r="5" spans="1:120">
      <c r="B5" s="32" t="s">
        <v>47</v>
      </c>
      <c r="C5" s="32"/>
      <c r="D5" s="32"/>
      <c r="E5" s="32"/>
      <c r="F5" s="32"/>
      <c r="G5" s="32">
        <v>15</v>
      </c>
      <c r="H5" s="32" t="s">
        <v>48</v>
      </c>
      <c r="I5" s="33" t="s">
        <v>49</v>
      </c>
      <c r="J5" s="32">
        <f>RADIANS(G5)</f>
        <v>0.26179938779914941</v>
      </c>
      <c r="K5" s="32" t="s">
        <v>50</v>
      </c>
      <c r="AS5" s="9" t="s">
        <v>51</v>
      </c>
      <c r="AT5" s="34">
        <v>0.75</v>
      </c>
      <c r="BE5" s="34">
        <v>0</v>
      </c>
      <c r="BH5">
        <f>0.00001*25</f>
        <v>2.5000000000000001E-4</v>
      </c>
      <c r="CC5" s="20">
        <f>22.5</f>
        <v>22.5</v>
      </c>
      <c r="CD5" t="s">
        <v>7</v>
      </c>
      <c r="CE5" s="27">
        <f>CM74</f>
        <v>0</v>
      </c>
      <c r="CV5" s="35" t="s">
        <v>52</v>
      </c>
      <c r="CW5" s="36">
        <f>1/9</f>
        <v>0.1111111111111111</v>
      </c>
      <c r="CX5" s="36">
        <v>0</v>
      </c>
    </row>
    <row r="6" spans="1:120" ht="15.75" thickBot="1">
      <c r="B6" s="1" t="s">
        <v>53</v>
      </c>
      <c r="G6">
        <v>5.95</v>
      </c>
      <c r="H6" t="s">
        <v>6</v>
      </c>
      <c r="K6">
        <f>SUBTOTAL(5,K10:K41)</f>
        <v>1.5</v>
      </c>
      <c r="AS6" s="9"/>
      <c r="AT6" s="34"/>
      <c r="BE6" t="s">
        <v>54</v>
      </c>
      <c r="CW6" s="37" t="str" cm="1">
        <f t="array" aca="1" ref="CW6" ca="1">INDIRECT(CW7&amp;"7")&amp;("^")&amp;TEXT(CW3,"#.##")&amp;IF(CW5&lt;&gt;0,"*EXP("&amp;TEXT(CW5,"0.##")&amp;"*beta"&amp;")","")&amp;IF(CW4&lt;&gt;0,"*beta^"&amp;TEXT(CW4,"0.##"),"")&amp;IF(CW2&lt;&gt;0,"/N^"&amp;TEXT(CW2,"0.##"),"")</f>
        <v>(gap/depth)^1.*EXP(0.11*beta)</v>
      </c>
      <c r="CX6" s="38" t="str" cm="1">
        <f t="array" aca="1" ref="CX6" ca="1">INDIRECT(CX7&amp;"7")</f>
        <v>(DH / hv*)(1+ab)</v>
      </c>
    </row>
    <row r="7" spans="1:120" ht="48.75" thickTop="1" thickBot="1">
      <c r="K7">
        <f>SUBTOTAL(4,K10:K41)</f>
        <v>3</v>
      </c>
      <c r="P7" s="156"/>
      <c r="Q7" s="156"/>
      <c r="V7" s="1" t="s">
        <v>55</v>
      </c>
      <c r="AE7" s="39" t="s">
        <v>56</v>
      </c>
      <c r="AG7" s="40" t="s">
        <v>57</v>
      </c>
      <c r="AH7" s="41"/>
      <c r="AK7" s="1" t="s">
        <v>58</v>
      </c>
      <c r="AL7" s="1" t="s">
        <v>59</v>
      </c>
      <c r="AN7" t="s">
        <v>60</v>
      </c>
      <c r="AO7" t="s">
        <v>61</v>
      </c>
      <c r="AP7" s="42" t="s">
        <v>62</v>
      </c>
      <c r="AQ7" s="16" t="s">
        <v>63</v>
      </c>
      <c r="AR7" s="43" t="s">
        <v>64</v>
      </c>
      <c r="AT7" s="15" t="s">
        <v>65</v>
      </c>
      <c r="AW7" s="12" t="s">
        <v>66</v>
      </c>
      <c r="AX7" s="16" t="s">
        <v>67</v>
      </c>
      <c r="AY7" s="1" t="s">
        <v>68</v>
      </c>
      <c r="AZ7" s="44" t="s">
        <v>4</v>
      </c>
      <c r="BA7" s="1" t="s">
        <v>69</v>
      </c>
      <c r="BB7" s="1" t="s">
        <v>70</v>
      </c>
      <c r="BC7" s="1" t="s">
        <v>71</v>
      </c>
      <c r="BD7" s="1" t="s">
        <v>72</v>
      </c>
      <c r="BE7" s="1" t="s">
        <v>73</v>
      </c>
      <c r="BF7" s="16" t="s">
        <v>74</v>
      </c>
      <c r="BG7" s="16" t="s">
        <v>75</v>
      </c>
      <c r="BH7" s="45" t="s">
        <v>76</v>
      </c>
      <c r="BI7" s="16"/>
      <c r="BJ7" s="16"/>
      <c r="BK7" s="16"/>
      <c r="BL7" s="16"/>
      <c r="BM7" s="16"/>
      <c r="BN7" s="16"/>
      <c r="BO7" s="16"/>
      <c r="BP7" s="16"/>
      <c r="BQ7" s="16">
        <f>CV7</f>
        <v>1</v>
      </c>
      <c r="BR7" s="1" t="s">
        <v>77</v>
      </c>
      <c r="CC7" s="5" t="s">
        <v>78</v>
      </c>
      <c r="CO7" s="1" t="s">
        <v>79</v>
      </c>
      <c r="CV7">
        <v>1</v>
      </c>
      <c r="CW7" s="1" t="s">
        <v>80</v>
      </c>
      <c r="CX7" s="1" t="s">
        <v>81</v>
      </c>
      <c r="DA7" s="46"/>
    </row>
    <row r="8" spans="1:120" ht="140.25" thickTop="1">
      <c r="A8" s="5"/>
      <c r="B8" s="47" t="s">
        <v>82</v>
      </c>
      <c r="C8" s="47" t="s">
        <v>83</v>
      </c>
      <c r="D8" s="16" t="s">
        <v>84</v>
      </c>
      <c r="E8" s="5" t="s">
        <v>85</v>
      </c>
      <c r="F8" s="47" t="s">
        <v>86</v>
      </c>
      <c r="G8" s="47" t="s">
        <v>87</v>
      </c>
      <c r="H8" s="16" t="s">
        <v>88</v>
      </c>
      <c r="I8" s="47" t="s">
        <v>5</v>
      </c>
      <c r="J8" s="48" t="s">
        <v>89</v>
      </c>
      <c r="K8" s="48" t="s">
        <v>90</v>
      </c>
      <c r="L8" s="16" t="s">
        <v>91</v>
      </c>
      <c r="M8" s="16" t="s">
        <v>92</v>
      </c>
      <c r="N8" s="16" t="s">
        <v>93</v>
      </c>
      <c r="O8" s="47" t="s">
        <v>94</v>
      </c>
      <c r="P8" s="49" t="s">
        <v>95</v>
      </c>
      <c r="Q8" s="49" t="s">
        <v>95</v>
      </c>
      <c r="R8" s="16" t="s">
        <v>96</v>
      </c>
      <c r="S8" s="16" t="s">
        <v>97</v>
      </c>
      <c r="T8" s="16" t="s">
        <v>98</v>
      </c>
      <c r="U8" s="50" t="s">
        <v>99</v>
      </c>
      <c r="V8" s="16" t="s">
        <v>100</v>
      </c>
      <c r="W8" s="50" t="s">
        <v>101</v>
      </c>
      <c r="X8" s="16" t="s">
        <v>102</v>
      </c>
      <c r="Y8" s="16" t="s">
        <v>103</v>
      </c>
      <c r="Z8" s="51" t="s">
        <v>104</v>
      </c>
      <c r="AA8" s="16" t="s">
        <v>105</v>
      </c>
      <c r="AB8" s="16" t="s">
        <v>19</v>
      </c>
      <c r="AC8" s="15" t="s">
        <v>106</v>
      </c>
      <c r="AD8" s="16" t="s">
        <v>107</v>
      </c>
      <c r="AE8" s="16" t="s">
        <v>108</v>
      </c>
      <c r="AF8" s="16" t="s">
        <v>109</v>
      </c>
      <c r="AG8" s="52" t="s">
        <v>110</v>
      </c>
      <c r="AH8" s="52" t="s">
        <v>111</v>
      </c>
      <c r="AI8" s="53" t="s">
        <v>112</v>
      </c>
      <c r="AJ8" s="16" t="s">
        <v>112</v>
      </c>
      <c r="AK8" s="45" t="s">
        <v>113</v>
      </c>
      <c r="AL8" s="45" t="s">
        <v>114</v>
      </c>
      <c r="AM8" s="16" t="s">
        <v>115</v>
      </c>
      <c r="AN8" s="16" t="s">
        <v>60</v>
      </c>
      <c r="AO8" s="16" t="s">
        <v>61</v>
      </c>
      <c r="AP8" s="16" t="s">
        <v>62</v>
      </c>
      <c r="AQ8" s="16" t="s">
        <v>63</v>
      </c>
      <c r="AR8" s="16" t="s">
        <v>116</v>
      </c>
      <c r="AS8" s="16" t="s">
        <v>117</v>
      </c>
      <c r="AT8" s="16" t="s">
        <v>118</v>
      </c>
      <c r="AU8" s="16" t="s">
        <v>119</v>
      </c>
      <c r="AV8" s="47" t="s">
        <v>120</v>
      </c>
      <c r="AW8" s="12" t="s">
        <v>66</v>
      </c>
      <c r="AX8" s="16" t="s">
        <v>67</v>
      </c>
      <c r="AY8" s="47" t="s">
        <v>121</v>
      </c>
      <c r="AZ8" s="47" t="s">
        <v>122</v>
      </c>
      <c r="BA8" s="54" t="s">
        <v>123</v>
      </c>
      <c r="BB8" s="54" t="s">
        <v>124</v>
      </c>
      <c r="BC8" s="55" t="s">
        <v>125</v>
      </c>
      <c r="BD8" s="54" t="s">
        <v>72</v>
      </c>
      <c r="BE8" s="16" t="s">
        <v>126</v>
      </c>
      <c r="BF8" s="16" t="s">
        <v>74</v>
      </c>
      <c r="BG8" s="16" t="s">
        <v>75</v>
      </c>
      <c r="BH8" s="45" t="s">
        <v>127</v>
      </c>
      <c r="BI8" s="16" t="s">
        <v>128</v>
      </c>
      <c r="BJ8" s="16" t="s">
        <v>129</v>
      </c>
      <c r="BK8" s="16" t="s">
        <v>130</v>
      </c>
      <c r="BL8" s="16" t="s">
        <v>131</v>
      </c>
      <c r="BM8" s="45" t="s">
        <v>132</v>
      </c>
      <c r="BN8" s="16" t="s">
        <v>133</v>
      </c>
      <c r="BO8" s="16" t="s">
        <v>134</v>
      </c>
      <c r="BP8" s="56" t="s">
        <v>135</v>
      </c>
      <c r="BQ8" s="56" t="s">
        <v>136</v>
      </c>
      <c r="BR8" s="16" t="s">
        <v>137</v>
      </c>
      <c r="BS8" s="16" t="s">
        <v>138</v>
      </c>
      <c r="BT8" s="16" t="s">
        <v>139</v>
      </c>
      <c r="BU8" s="16" t="s">
        <v>140</v>
      </c>
      <c r="BV8" s="16" t="s">
        <v>141</v>
      </c>
      <c r="BW8" s="16" t="s">
        <v>142</v>
      </c>
      <c r="BX8" s="16" t="s">
        <v>143</v>
      </c>
      <c r="BY8" s="16" t="s">
        <v>144</v>
      </c>
      <c r="BZ8" s="16" t="s">
        <v>145</v>
      </c>
      <c r="CA8" s="16" t="s">
        <v>146</v>
      </c>
      <c r="CB8" s="16" t="s">
        <v>147</v>
      </c>
      <c r="CC8" s="16" t="s">
        <v>148</v>
      </c>
      <c r="CD8" s="16" t="s">
        <v>149</v>
      </c>
      <c r="CE8" s="16" t="s">
        <v>150</v>
      </c>
      <c r="CF8" s="16" t="s">
        <v>151</v>
      </c>
      <c r="CG8" s="16" t="s">
        <v>152</v>
      </c>
      <c r="CH8" s="45" t="s">
        <v>153</v>
      </c>
      <c r="CI8" s="45" t="s">
        <v>154</v>
      </c>
      <c r="CJ8" s="16" t="s">
        <v>155</v>
      </c>
      <c r="CK8" s="16" t="s">
        <v>156</v>
      </c>
      <c r="CL8" s="47" t="s">
        <v>157</v>
      </c>
      <c r="CM8" s="16" t="s">
        <v>158</v>
      </c>
      <c r="CN8" s="16" t="s">
        <v>159</v>
      </c>
      <c r="CO8" s="16" t="s">
        <v>160</v>
      </c>
      <c r="CP8" s="16" t="s">
        <v>161</v>
      </c>
      <c r="CQ8" s="16" t="s">
        <v>162</v>
      </c>
      <c r="CR8" s="16" t="s">
        <v>163</v>
      </c>
      <c r="CS8" s="16" t="s">
        <v>164</v>
      </c>
      <c r="CT8" s="16" t="s">
        <v>165</v>
      </c>
      <c r="CU8" s="16" t="s">
        <v>166</v>
      </c>
      <c r="CW8" s="47" t="s">
        <v>167</v>
      </c>
      <c r="CX8" s="16" t="s">
        <v>168</v>
      </c>
      <c r="CZ8" s="57" t="s">
        <v>169</v>
      </c>
      <c r="DA8" s="57" t="s">
        <v>170</v>
      </c>
      <c r="DB8" s="58" t="s">
        <v>171</v>
      </c>
      <c r="DC8" s="58" t="s">
        <v>172</v>
      </c>
      <c r="DD8" s="58" t="s">
        <v>173</v>
      </c>
      <c r="DE8" s="58" t="s">
        <v>174</v>
      </c>
      <c r="DF8" s="15"/>
      <c r="DP8" s="59"/>
    </row>
    <row r="9" spans="1:120">
      <c r="B9" s="60"/>
      <c r="C9" s="60"/>
      <c r="D9" s="61" t="s">
        <v>6</v>
      </c>
      <c r="E9" s="60"/>
      <c r="F9" s="60"/>
      <c r="G9" s="60"/>
      <c r="H9" s="60" t="s">
        <v>175</v>
      </c>
      <c r="I9" s="60" t="s">
        <v>176</v>
      </c>
      <c r="J9" s="60" t="s">
        <v>177</v>
      </c>
      <c r="K9" s="60" t="s">
        <v>177</v>
      </c>
      <c r="L9" s="60" t="s">
        <v>177</v>
      </c>
      <c r="M9" s="60"/>
      <c r="N9" s="60"/>
      <c r="O9" s="60" t="s">
        <v>8</v>
      </c>
      <c r="P9" s="60" t="s">
        <v>177</v>
      </c>
      <c r="Q9" s="60" t="s">
        <v>6</v>
      </c>
      <c r="R9" s="60" t="s">
        <v>6</v>
      </c>
      <c r="S9" s="60" t="s">
        <v>6</v>
      </c>
      <c r="T9" s="60" t="s">
        <v>6</v>
      </c>
      <c r="U9" s="60" t="s">
        <v>6</v>
      </c>
      <c r="V9" s="60"/>
      <c r="W9" s="60"/>
      <c r="X9" s="60" t="s">
        <v>177</v>
      </c>
      <c r="Y9" s="60" t="s">
        <v>6</v>
      </c>
      <c r="Z9" s="60" t="s">
        <v>177</v>
      </c>
      <c r="AA9" s="60" t="s">
        <v>6</v>
      </c>
      <c r="AB9" s="60" t="s">
        <v>6</v>
      </c>
      <c r="AC9" s="60"/>
      <c r="AD9" s="60" t="s">
        <v>178</v>
      </c>
      <c r="AE9" s="60" t="s">
        <v>6</v>
      </c>
      <c r="AF9" s="60" t="s">
        <v>178</v>
      </c>
      <c r="AG9" s="60"/>
      <c r="AH9" s="60"/>
      <c r="AI9" s="62" t="s">
        <v>6</v>
      </c>
      <c r="AJ9" s="62" t="s">
        <v>7</v>
      </c>
      <c r="AK9" s="62" t="s">
        <v>179</v>
      </c>
      <c r="AL9" s="62" t="s">
        <v>179</v>
      </c>
      <c r="AM9" s="62" t="s">
        <v>178</v>
      </c>
      <c r="AN9" s="62" t="s">
        <v>179</v>
      </c>
      <c r="AO9" s="62" t="s">
        <v>179</v>
      </c>
      <c r="AP9" s="62" t="s">
        <v>179</v>
      </c>
      <c r="AQ9" s="62" t="s">
        <v>179</v>
      </c>
      <c r="AR9" s="61" t="s">
        <v>6</v>
      </c>
      <c r="AS9" s="61" t="s">
        <v>6</v>
      </c>
      <c r="AT9" s="61" t="s">
        <v>178</v>
      </c>
      <c r="AU9" s="61" t="s">
        <v>6</v>
      </c>
      <c r="AV9" s="61" t="s">
        <v>178</v>
      </c>
      <c r="AW9" s="60"/>
      <c r="AX9" s="60"/>
      <c r="AY9" s="60"/>
      <c r="AZ9" s="60"/>
      <c r="BA9" s="62" t="s">
        <v>180</v>
      </c>
      <c r="BB9" s="62" t="s">
        <v>180</v>
      </c>
      <c r="BC9" s="62" t="s">
        <v>179</v>
      </c>
      <c r="BD9" s="62" t="s">
        <v>175</v>
      </c>
      <c r="BE9" s="62" t="s">
        <v>178</v>
      </c>
      <c r="BF9" s="62" t="s">
        <v>179</v>
      </c>
      <c r="BG9" s="62" t="s">
        <v>179</v>
      </c>
      <c r="BH9" s="62" t="s">
        <v>179</v>
      </c>
      <c r="BI9" s="62" t="s">
        <v>6</v>
      </c>
      <c r="BJ9" s="62" t="s">
        <v>179</v>
      </c>
      <c r="BK9" s="62" t="s">
        <v>178</v>
      </c>
      <c r="BL9" s="62" t="s">
        <v>179</v>
      </c>
      <c r="BM9" s="62" t="s">
        <v>178</v>
      </c>
      <c r="BN9" s="62" t="s">
        <v>175</v>
      </c>
      <c r="BO9" s="62" t="s">
        <v>179</v>
      </c>
      <c r="BP9" s="62"/>
      <c r="BQ9" s="62" t="s">
        <v>179</v>
      </c>
      <c r="BR9" s="62"/>
      <c r="BS9" s="61" t="s">
        <v>6</v>
      </c>
      <c r="BT9" s="61" t="s">
        <v>6</v>
      </c>
      <c r="BU9" s="61" t="s">
        <v>6</v>
      </c>
      <c r="BV9" s="61" t="s">
        <v>6</v>
      </c>
      <c r="BW9" s="61" t="s">
        <v>6</v>
      </c>
      <c r="BX9" s="62" t="s">
        <v>179</v>
      </c>
      <c r="BY9" s="62" t="s">
        <v>179</v>
      </c>
      <c r="BZ9" s="61" t="s">
        <v>176</v>
      </c>
      <c r="CA9" s="61" t="s">
        <v>6</v>
      </c>
      <c r="CB9" s="61" t="s">
        <v>7</v>
      </c>
      <c r="CC9" s="62" t="s">
        <v>181</v>
      </c>
      <c r="CD9" s="12"/>
      <c r="CE9" s="12"/>
      <c r="CF9" s="12" t="s">
        <v>181</v>
      </c>
      <c r="CG9" s="12" t="s">
        <v>178</v>
      </c>
      <c r="CH9" s="12" t="s">
        <v>6</v>
      </c>
      <c r="CI9" s="12" t="s">
        <v>181</v>
      </c>
      <c r="CJ9" s="12" t="s">
        <v>6</v>
      </c>
      <c r="CK9" s="12" t="s">
        <v>179</v>
      </c>
      <c r="CW9" t="s">
        <v>182</v>
      </c>
      <c r="DD9" t="s">
        <v>6</v>
      </c>
    </row>
    <row r="10" spans="1:120">
      <c r="A10" s="1" t="s">
        <v>186</v>
      </c>
      <c r="B10" s="63">
        <v>45054</v>
      </c>
      <c r="C10" s="64">
        <v>0.41319444444444442</v>
      </c>
      <c r="D10">
        <v>1.0200000000000001E-2</v>
      </c>
      <c r="E10" t="s">
        <v>185</v>
      </c>
      <c r="F10" s="1" t="s">
        <v>184</v>
      </c>
      <c r="G10">
        <v>8.1960000000000005E-2</v>
      </c>
      <c r="H10" s="68">
        <v>1309.22</v>
      </c>
      <c r="I10" s="66">
        <f t="shared" ref="I10" si="0">G10*H10^0.5*1</f>
        <v>2.9655705844831952</v>
      </c>
      <c r="J10">
        <v>0</v>
      </c>
      <c r="K10">
        <v>3</v>
      </c>
      <c r="L10" s="67" t="e">
        <f>NA()</f>
        <v>#N/A</v>
      </c>
      <c r="M10">
        <f>O10-(P10-0.052/2)*2.54</f>
        <v>40.495072399999998</v>
      </c>
      <c r="N10" s="100" cm="1">
        <f t="array" aca="1" ref="N10" ca="1">CORREL(LOG(AD10:AD15),LOG(P10:P15))</f>
        <v>0.9991756040143126</v>
      </c>
      <c r="O10" s="68">
        <v>40.5</v>
      </c>
      <c r="P10" s="6">
        <f>0.052/2+0.00194</f>
        <v>2.794E-2</v>
      </c>
      <c r="Q10" s="69">
        <f t="shared" ref="Q10:Q15" si="1">P10/12</f>
        <v>2.3283333333333333E-3</v>
      </c>
      <c r="R10" s="18"/>
      <c r="S10" s="95">
        <v>5.7750000000000004</v>
      </c>
      <c r="T10" s="95">
        <v>0</v>
      </c>
      <c r="U10" s="70">
        <f ca="1">T10-AA10-D10-AI10*COS(theta)</f>
        <v>-3.2260578109505933</v>
      </c>
      <c r="V10" s="70"/>
      <c r="W10" s="70"/>
      <c r="X10" s="67">
        <v>3</v>
      </c>
      <c r="Y10" s="66">
        <f t="shared" ref="Y10:Y15" si="2">$G$4+R10+SIN(theta)*(X10-K10/COS(RADIANS(CT10))/COS(RADIANS(CS10)))/12</f>
        <v>3.2</v>
      </c>
      <c r="Z10" s="70">
        <v>0</v>
      </c>
      <c r="AA10" s="6">
        <f t="shared" ref="AA10" si="3">$G$4-((Z10+K10/COS(RADIANS(CS10))/COS(RADIANS(CT10)))/12)*SIN(theta)</f>
        <v>3.1352952387243702</v>
      </c>
      <c r="AB10" s="66">
        <f t="shared" ref="AB10" ca="1" si="4">S10-D10-(Y10+AI10*COS(theta))</f>
        <v>2.4842374277737771</v>
      </c>
      <c r="AC10" s="71">
        <v>0.97641702112888917</v>
      </c>
      <c r="AD10" s="66">
        <f t="shared" ref="AD10:AD15" ca="1" si="5">SQRT(2*32.17*AB10)*AC10*$AD$2</f>
        <v>12.344469191242958</v>
      </c>
      <c r="AE10" s="66">
        <f t="shared" ref="AE10:AE15" ca="1" si="6">AB10*$AD$2^2</f>
        <v>2.4842374277737771</v>
      </c>
      <c r="AF10" s="70">
        <f t="shared" ref="AF10:AF15" ca="1" si="7">SQRT(2*32.17*AE10)</f>
        <v>12.642619827510627</v>
      </c>
      <c r="AG10" s="72" cm="1">
        <f t="array" aca="1" ref="AG10" ca="1">IFERROR(10^INTERCEPT(LOG(AF10:AF15),LOG(Q10:Q15)),30)</f>
        <v>27.578305129442342</v>
      </c>
      <c r="AH10" s="73" cm="1">
        <f t="array" aca="1" ref="AH10" ca="1">IFERROR(SLOPE(LOG(AF10:AF15),LOG(Q10:Q15)),0.1)</f>
        <v>0.12819265800859991</v>
      </c>
      <c r="AI10" s="11">
        <f t="shared" ref="AI10:AI15" ca="1" si="8">((I10/2)*(1+AH10)/AG10)^(1/(1+AH10))</f>
        <v>8.3404512058375388E-2</v>
      </c>
      <c r="AJ10" s="11">
        <f t="shared" ref="AJ10:AJ15" ca="1" si="9">AI10*12</f>
        <v>1.0008541447005046</v>
      </c>
      <c r="AK10" s="70" t="e">
        <f ca="1">AJ10/J10</f>
        <v>#DIV/0!</v>
      </c>
      <c r="AL10" s="70">
        <f ca="1">K10/AJ10</f>
        <v>2.9974397527201324</v>
      </c>
      <c r="AM10" s="11">
        <f ca="1">I10/2/AI10</f>
        <v>17.778238318854811</v>
      </c>
      <c r="AN10" s="70">
        <f ca="1">AM10/SQRT(32.17*AI10*COS(theta))</f>
        <v>11.043240521221081</v>
      </c>
      <c r="AO10" s="70" t="e">
        <f>I10/2/SQRT(32.17*COS(theta)*(J10/12)^3)</f>
        <v>#DIV/0!</v>
      </c>
      <c r="AP10" s="70" t="e">
        <f ca="1">AM10/SQRT(32.17*COS(theta)*(J10/12))</f>
        <v>#DIV/0!</v>
      </c>
      <c r="AQ10" s="99" t="e">
        <f ca="1">SQRT(2*32.17*U10)/SQRT(32.17*COS(theta)*(K10/12))</f>
        <v>#NUM!</v>
      </c>
      <c r="AR10" s="11">
        <f ca="1">AM10^2/2/32.17</f>
        <v>4.9124301790798501</v>
      </c>
      <c r="AS10" s="11">
        <f>J10/12</f>
        <v>0</v>
      </c>
      <c r="AT10" s="11">
        <f ca="1">AG10*(J10*$AT$5/12)^(AH10)</f>
        <v>0</v>
      </c>
      <c r="AU10" s="11">
        <f ca="1">AT10^2/2/32.17</f>
        <v>0</v>
      </c>
      <c r="AV10" s="11">
        <f t="shared" ref="AV10:AV15" ca="1" si="10">AG10*Q10^AH10</f>
        <v>12.677747345175328</v>
      </c>
      <c r="AW10" s="7">
        <f ca="1">J10/(AJ10-J10)</f>
        <v>0</v>
      </c>
      <c r="AX10" s="74">
        <f ca="1">K10/(AJ10-J10)</f>
        <v>2.9974397527201324</v>
      </c>
      <c r="AY10" s="75">
        <f ca="1">U10/AR10</f>
        <v>-0.6567132138974987</v>
      </c>
      <c r="AZ10" s="6" t="e">
        <f>K10/J10</f>
        <v>#DIV/0!</v>
      </c>
      <c r="BA10" s="10" t="e">
        <f ca="1">(SQRT(2*32.17*U10)/AG10)^(1/AH10)/(J10/12)</f>
        <v>#NUM!</v>
      </c>
      <c r="BB10" s="10" t="e">
        <f ca="1">(SQRT(2*32.17*U10)/AG10)^(1/AH10)/AI10</f>
        <v>#NUM!</v>
      </c>
      <c r="BC10" s="75" t="e">
        <f ca="1">(AY10-(1+$BB$60)*(0.8223*#REF!+0.5707+1)^-1)^2</f>
        <v>#REF!</v>
      </c>
      <c r="BD10" s="76" t="e">
        <f ca="1">304.8*(SQRT(2*32.17*U10)/AG10)^(1/AH10)</f>
        <v>#NUM!</v>
      </c>
      <c r="BE10" s="77" t="e">
        <f ca="1">AG10*(J10*$BE$5/12)^(AH10)*(AND($BE$5&gt;0,$BE$5&lt;&gt;2))+AM10*($BE$5=0)+SQRT(2*32.17*U10)*($BE$5=2)</f>
        <v>#NUM!</v>
      </c>
      <c r="BF10" s="78" t="e">
        <f ca="1">BE10*4*AI10/viscosity</f>
        <v>#NUM!</v>
      </c>
      <c r="BG10" s="78" t="e">
        <f ca="1">BE10*J10/12/viscosity</f>
        <v>#NUM!</v>
      </c>
      <c r="BH10" s="77">
        <f ca="1">IFERROR((2*LOG10(2/($BH$5/AI10))+1.74-2*LOG10(1+18.7*2/($BH$5/AI10)/(BF10*BH10^0.5)))^-2,0.02)</f>
        <v>0.02</v>
      </c>
      <c r="BI10" s="74">
        <f ca="1">IF(ISBLANK(AI10),#REF!,AI10)</f>
        <v>8.3404512058375388E-2</v>
      </c>
      <c r="BJ10" s="74">
        <f ca="1">IF('Depth profiles'!Q10=0,NA(),'Depth profiles'!Q10)/BI10</f>
        <v>2.791615556366683E-2</v>
      </c>
      <c r="BK10" s="74">
        <f ca="1">IF(ISBLANK('Depth profiles'!AM10),BK669,'Depth profiles'!AM10)</f>
        <v>17.778238318854811</v>
      </c>
      <c r="BL10" s="74">
        <f ca="1">IF('Depth profiles'!AF10=0,NA(),'Depth profiles'!AF10)/'Depth profiles'!BK10</f>
        <v>0.71112894319244357</v>
      </c>
      <c r="BM10" s="74">
        <f t="shared" ref="BM10" ca="1" si="11">SQRT(32.17*BI10*SIN(theta))</f>
        <v>0.83333269006482935</v>
      </c>
      <c r="BN10" s="74">
        <f t="shared" ref="BN10" ca="1" si="12">25.4*12*11.84*viscosity/BM10</f>
        <v>5.1967220914651738E-2</v>
      </c>
      <c r="BO10" s="74">
        <f t="shared" ref="BO10" ca="1" si="13">(J10/12)*BM10/viscosity</f>
        <v>0</v>
      </c>
      <c r="BP10" s="74">
        <f ca="1">(1+AH10)^3/(1+3*AH10)</f>
        <v>1.0371280703960779</v>
      </c>
      <c r="BQ10" s="74" t="e">
        <f ca="1">($BQ$7/AK10)^(3*AH10)*(1+AH10)^3/(1+3*AH10)</f>
        <v>#DIV/0!</v>
      </c>
      <c r="BR10" s="74" t="e">
        <f ca="1">(U10/(BQ10*AR10))*(1+$BR$3*AZ10)</f>
        <v>#DIV/0!</v>
      </c>
      <c r="BS10" s="95"/>
      <c r="BT10" s="70"/>
      <c r="BU10" s="95"/>
      <c r="BW10" s="66"/>
      <c r="BX10" s="66"/>
      <c r="BY10" s="66"/>
      <c r="BZ10" s="66"/>
      <c r="CA10" s="66"/>
      <c r="CB10" s="68"/>
      <c r="CC10" s="66"/>
      <c r="CD10" s="70"/>
      <c r="CE10" s="70"/>
      <c r="CF10" s="96"/>
      <c r="CG10" s="70"/>
      <c r="CH10" s="70"/>
      <c r="CI10" s="11"/>
      <c r="CJ10" s="70"/>
      <c r="CK10" s="70"/>
      <c r="CR10" t="s">
        <v>183</v>
      </c>
      <c r="CS10" s="68">
        <v>0</v>
      </c>
      <c r="CT10" s="68">
        <v>0</v>
      </c>
      <c r="DA10" s="46"/>
      <c r="DD10" s="18"/>
      <c r="DE10" s="18"/>
    </row>
    <row r="11" spans="1:120">
      <c r="B11" s="63">
        <f t="shared" ref="B11:C15" si="14">B10</f>
        <v>45054</v>
      </c>
      <c r="C11" s="64">
        <f t="shared" si="14"/>
        <v>0.41319444444444442</v>
      </c>
      <c r="D11">
        <v>1.0200000000000001E-2</v>
      </c>
      <c r="E11" t="s">
        <v>185</v>
      </c>
      <c r="F11" s="1" t="str">
        <f t="shared" ref="F11:L15" si="15">F10</f>
        <v>NE 6"</v>
      </c>
      <c r="G11">
        <f t="shared" si="15"/>
        <v>8.1960000000000005E-2</v>
      </c>
      <c r="H11">
        <f t="shared" si="15"/>
        <v>1309.22</v>
      </c>
      <c r="I11" s="66">
        <f>I10</f>
        <v>2.9655705844831952</v>
      </c>
      <c r="J11">
        <f t="shared" ref="J11:L11" si="16">J10</f>
        <v>0</v>
      </c>
      <c r="K11">
        <f t="shared" si="16"/>
        <v>3</v>
      </c>
      <c r="L11" s="67" t="e">
        <f t="shared" si="16"/>
        <v>#N/A</v>
      </c>
      <c r="N11" s="17"/>
      <c r="O11" s="68">
        <v>40.549999999999997</v>
      </c>
      <c r="P11" s="79" cm="1">
        <f t="array" aca="1" ref="P11" ca="1">INDIRECT("P"&amp;ROW(O11)-1)+(O11-INDIRECT("O"&amp;ROW(O11)-1))*10/25.4</f>
        <v>4.7625039370077622E-2</v>
      </c>
      <c r="Q11" s="69">
        <f t="shared" ca="1" si="1"/>
        <v>3.9687532808398021E-3</v>
      </c>
      <c r="R11" s="18"/>
      <c r="S11" s="95">
        <f>offset+0.235</f>
        <v>6.1850000000000005</v>
      </c>
      <c r="T11" s="65"/>
      <c r="U11" s="70">
        <f t="shared" ref="U11:U40" ca="1" si="17">U10</f>
        <v>-3.2260578109505933</v>
      </c>
      <c r="V11" s="70"/>
      <c r="W11" s="70"/>
      <c r="X11" s="67">
        <f>X10</f>
        <v>3</v>
      </c>
      <c r="Y11" s="66">
        <f t="shared" si="2"/>
        <v>3.2</v>
      </c>
      <c r="Z11" s="70">
        <v>0</v>
      </c>
      <c r="AA11" s="6">
        <f t="shared" ref="AA11" si="18">$G$4-((Z11+K11/COS(RADIANS(CS11))/COS(RADIANS(CT11)))/12)*SIN(theta)</f>
        <v>3.1352952387243702</v>
      </c>
      <c r="AB11" s="66">
        <f t="shared" ref="AB11" ca="1" si="19">S11-D11-(Y11+AI11*COS(theta))</f>
        <v>2.8942374277737772</v>
      </c>
      <c r="AC11" s="71">
        <v>0.97641702112888917</v>
      </c>
      <c r="AD11" s="66">
        <f t="shared" ca="1" si="5"/>
        <v>13.324255365047973</v>
      </c>
      <c r="AE11" s="66">
        <f t="shared" ca="1" si="6"/>
        <v>2.8942374277737772</v>
      </c>
      <c r="AF11" s="70">
        <f t="shared" ca="1" si="7"/>
        <v>13.64607035387715</v>
      </c>
      <c r="AG11" s="70">
        <f t="shared" ref="AG11:AH15" ca="1" si="20">AG10</f>
        <v>27.578305129442342</v>
      </c>
      <c r="AH11" s="69">
        <f t="shared" ca="1" si="20"/>
        <v>0.12819265800859991</v>
      </c>
      <c r="AI11">
        <f t="shared" ca="1" si="8"/>
        <v>8.3404512058375388E-2</v>
      </c>
      <c r="AJ11">
        <f t="shared" ca="1" si="9"/>
        <v>1.0008541447005046</v>
      </c>
      <c r="AK11" s="18"/>
      <c r="AL11" s="18"/>
      <c r="AR11" s="11">
        <f ca="1">AR10</f>
        <v>4.9124301790798501</v>
      </c>
      <c r="AS11">
        <f>AS10</f>
        <v>0</v>
      </c>
      <c r="AT11">
        <f ca="1">AM10</f>
        <v>17.778238318854811</v>
      </c>
      <c r="AU11" s="11">
        <f t="shared" ref="AU11:AU40" ca="1" si="21">AU10</f>
        <v>0</v>
      </c>
      <c r="AV11" s="11">
        <f t="shared" ca="1" si="10"/>
        <v>13.574775591190519</v>
      </c>
      <c r="AW11" s="7"/>
      <c r="AX11" s="7"/>
      <c r="AZ11" s="18"/>
      <c r="BI11" s="7">
        <f t="shared" ref="BI11:BI15" ca="1" si="22">IF(ISBLANK(AI11),BI10,AI11)</f>
        <v>8.3404512058375388E-2</v>
      </c>
      <c r="BJ11" s="7">
        <f ca="1">IF('Depth profiles'!Q11=0,NA(),'Depth profiles'!Q11)/BI11</f>
        <v>4.7584395410910675E-2</v>
      </c>
      <c r="BK11" s="7">
        <f ca="1">IF(ISBLANK('Depth profiles'!AM11),BK10,'Depth profiles'!AM11)</f>
        <v>17.778238318854811</v>
      </c>
      <c r="BL11" s="7">
        <f ca="1">IF('Depth profiles'!AF11=0,NA(),'Depth profiles'!AF11)/'Depth profiles'!BK11</f>
        <v>0.76757157312964652</v>
      </c>
      <c r="BM11" s="7">
        <f t="shared" ref="BM11" ca="1" si="23">SQRT(32.17*BI11*SIN(theta))</f>
        <v>0.83333269006482935</v>
      </c>
      <c r="BN11" s="7">
        <f t="shared" ref="BN11" ca="1" si="24">25.4*12*11.84*viscosity/BM11</f>
        <v>5.1967220914651738E-2</v>
      </c>
      <c r="BO11" s="7">
        <f t="shared" ref="BO11" ca="1" si="25">(J11/12)*BM11/viscosity</f>
        <v>0</v>
      </c>
      <c r="BP11" s="7"/>
      <c r="BQ11" s="7"/>
      <c r="BR11" s="7"/>
      <c r="BS11" s="95"/>
      <c r="BT11" s="70"/>
      <c r="BU11" s="95"/>
      <c r="BW11" s="66"/>
      <c r="BX11" s="66"/>
      <c r="BY11" s="66"/>
      <c r="BZ11" s="66"/>
      <c r="CA11" s="66"/>
      <c r="CB11" s="68"/>
      <c r="CC11" s="66"/>
      <c r="CD11" s="70"/>
      <c r="CE11" s="70"/>
      <c r="CF11" s="96"/>
      <c r="CG11" s="70"/>
      <c r="CH11" s="70"/>
      <c r="CI11" s="11"/>
      <c r="CJ11" s="70"/>
      <c r="CK11" s="70"/>
      <c r="CR11" t="s">
        <v>183</v>
      </c>
      <c r="CS11" s="68">
        <v>0</v>
      </c>
      <c r="CT11" s="68">
        <v>0</v>
      </c>
      <c r="CZ11" s="46"/>
      <c r="DA11" s="46"/>
    </row>
    <row r="12" spans="1:120">
      <c r="B12" s="63">
        <f t="shared" si="14"/>
        <v>45054</v>
      </c>
      <c r="C12" s="64">
        <f t="shared" si="14"/>
        <v>0.41319444444444442</v>
      </c>
      <c r="D12">
        <v>1.0200000000000001E-2</v>
      </c>
      <c r="E12" t="s">
        <v>185</v>
      </c>
      <c r="F12" s="1" t="str">
        <f t="shared" si="15"/>
        <v>NE 6"</v>
      </c>
      <c r="G12">
        <f t="shared" si="15"/>
        <v>8.1960000000000005E-2</v>
      </c>
      <c r="H12">
        <f t="shared" si="15"/>
        <v>1309.22</v>
      </c>
      <c r="I12" s="66">
        <f t="shared" si="15"/>
        <v>2.9655705844831952</v>
      </c>
      <c r="J12">
        <f t="shared" si="15"/>
        <v>0</v>
      </c>
      <c r="K12">
        <f t="shared" si="15"/>
        <v>3</v>
      </c>
      <c r="L12" s="67" t="e">
        <f t="shared" si="15"/>
        <v>#N/A</v>
      </c>
      <c r="N12" s="17"/>
      <c r="O12" s="68">
        <v>40.700000000000003</v>
      </c>
      <c r="P12" s="69" cm="1">
        <f t="array" aca="1" ref="P12" ca="1">INDIRECT("P"&amp;ROW(O12)-1)+(O12-INDIRECT("O"&amp;ROW(O12)-1))*10/25.4</f>
        <v>0.10668015748031609</v>
      </c>
      <c r="Q12" s="69">
        <f t="shared" ca="1" si="1"/>
        <v>8.8900131233596736E-3</v>
      </c>
      <c r="R12" s="18"/>
      <c r="S12" s="95">
        <f>offset+0.87</f>
        <v>6.82</v>
      </c>
      <c r="T12" s="65"/>
      <c r="U12" s="70">
        <f t="shared" ca="1" si="17"/>
        <v>-3.2260578109505933</v>
      </c>
      <c r="V12" s="70"/>
      <c r="W12" s="70"/>
      <c r="X12" s="67">
        <f t="shared" ref="X12:X15" si="26">X11</f>
        <v>3</v>
      </c>
      <c r="Y12" s="66">
        <f t="shared" si="2"/>
        <v>3.2</v>
      </c>
      <c r="Z12" s="70">
        <v>0</v>
      </c>
      <c r="AA12" s="6">
        <f t="shared" ref="AA12" si="27">$G$4-((Z12+K12/COS(RADIANS(CS12))/COS(RADIANS(CT12)))/12)*SIN(theta)</f>
        <v>3.1352952387243702</v>
      </c>
      <c r="AB12" s="66">
        <f t="shared" ref="AB12" ca="1" si="28">S12-D12-(Y12+AI12*COS(theta))</f>
        <v>3.529237427773777</v>
      </c>
      <c r="AC12" s="71">
        <v>0.97641702112888917</v>
      </c>
      <c r="AD12" s="66">
        <f t="shared" ca="1" si="5"/>
        <v>14.713510650775053</v>
      </c>
      <c r="AE12" s="66">
        <f t="shared" ca="1" si="6"/>
        <v>3.529237427773777</v>
      </c>
      <c r="AF12" s="70">
        <f t="shared" ca="1" si="7"/>
        <v>15.068879722891309</v>
      </c>
      <c r="AG12" s="70">
        <f t="shared" ca="1" si="20"/>
        <v>27.578305129442342</v>
      </c>
      <c r="AH12" s="69">
        <f t="shared" ca="1" si="20"/>
        <v>0.12819265800859991</v>
      </c>
      <c r="AI12">
        <f t="shared" ca="1" si="8"/>
        <v>8.3404512058375388E-2</v>
      </c>
      <c r="AJ12">
        <f t="shared" ca="1" si="9"/>
        <v>1.0008541447005046</v>
      </c>
      <c r="AK12" s="18"/>
      <c r="AL12" s="18"/>
      <c r="AR12" s="11">
        <f t="shared" ref="AR12:AR15" ca="1" si="29">AR11</f>
        <v>4.9124301790798501</v>
      </c>
      <c r="AS12">
        <f>AS10</f>
        <v>0</v>
      </c>
      <c r="AT12">
        <f ca="1">AT10</f>
        <v>0</v>
      </c>
      <c r="AU12" s="11">
        <f t="shared" ca="1" si="21"/>
        <v>0</v>
      </c>
      <c r="AV12" s="11">
        <f t="shared" ca="1" si="10"/>
        <v>15.053307022596135</v>
      </c>
      <c r="AW12" s="7"/>
      <c r="AX12" s="7"/>
      <c r="AZ12" s="18"/>
      <c r="BI12" s="7">
        <f t="shared" ca="1" si="22"/>
        <v>8.3404512058375388E-2</v>
      </c>
      <c r="BJ12" s="7">
        <f ca="1">IF('Depth profiles'!Q12=0,NA(),'Depth profiles'!Q12)/BI12</f>
        <v>0.10658911495264779</v>
      </c>
      <c r="BK12" s="7">
        <f ca="1">IF(ISBLANK('Depth profiles'!AM12),BK11,'Depth profiles'!AM12)</f>
        <v>17.778238318854811</v>
      </c>
      <c r="BL12" s="7">
        <f ca="1">IF('Depth profiles'!AF12=0,NA(),'Depth profiles'!AF12)/'Depth profiles'!BK12</f>
        <v>0.84760252689997539</v>
      </c>
      <c r="BM12" s="7">
        <f t="shared" ref="BM12" ca="1" si="30">SQRT(32.17*BI12*SIN(theta))</f>
        <v>0.83333269006482935</v>
      </c>
      <c r="BN12" s="7">
        <f t="shared" ref="BN12" ca="1" si="31">25.4*12*11.84*viscosity/BM12</f>
        <v>5.1967220914651738E-2</v>
      </c>
      <c r="BO12" s="7">
        <f t="shared" ref="BO12" ca="1" si="32">(J12/12)*BM12/viscosity</f>
        <v>0</v>
      </c>
      <c r="BP12" s="7"/>
      <c r="BQ12" s="7"/>
      <c r="BR12" s="7"/>
      <c r="BS12" s="95"/>
      <c r="BT12" s="70"/>
      <c r="BU12" s="95"/>
      <c r="BW12" s="66"/>
      <c r="BX12" s="66"/>
      <c r="BY12" s="66"/>
      <c r="BZ12" s="66"/>
      <c r="CA12" s="66"/>
      <c r="CB12" s="68"/>
      <c r="CC12" s="66"/>
      <c r="CD12" s="70"/>
      <c r="CE12" s="70"/>
      <c r="CF12" s="96"/>
      <c r="CG12" s="70"/>
      <c r="CH12" s="70"/>
      <c r="CI12" s="11"/>
      <c r="CJ12" s="70"/>
      <c r="CK12" s="70"/>
      <c r="CR12" t="s">
        <v>183</v>
      </c>
      <c r="CS12" s="68">
        <v>0</v>
      </c>
      <c r="CT12" s="68">
        <v>0</v>
      </c>
      <c r="CZ12" s="46"/>
      <c r="DA12" s="46"/>
    </row>
    <row r="13" spans="1:120">
      <c r="B13" s="63">
        <f t="shared" si="14"/>
        <v>45054</v>
      </c>
      <c r="C13" s="64">
        <f t="shared" si="14"/>
        <v>0.41319444444444442</v>
      </c>
      <c r="D13">
        <v>1.0200000000000001E-2</v>
      </c>
      <c r="E13" t="s">
        <v>185</v>
      </c>
      <c r="F13" s="1" t="str">
        <f t="shared" si="15"/>
        <v>NE 6"</v>
      </c>
      <c r="G13">
        <f t="shared" si="15"/>
        <v>8.1960000000000005E-2</v>
      </c>
      <c r="H13">
        <f t="shared" si="15"/>
        <v>1309.22</v>
      </c>
      <c r="I13" s="66">
        <f t="shared" si="15"/>
        <v>2.9655705844831952</v>
      </c>
      <c r="J13">
        <f t="shared" si="15"/>
        <v>0</v>
      </c>
      <c r="K13">
        <f t="shared" si="15"/>
        <v>3</v>
      </c>
      <c r="L13" s="67" t="e">
        <f t="shared" si="15"/>
        <v>#N/A</v>
      </c>
      <c r="N13" s="17"/>
      <c r="O13" s="68">
        <v>41.1</v>
      </c>
      <c r="P13" s="69" cm="1">
        <f t="array" aca="1" ref="P13" ca="1">INDIRECT("P"&amp;ROW(O13)-1)+(O13-INDIRECT("O"&amp;ROW(O13)-1))*10/25.4</f>
        <v>0.26416047244094543</v>
      </c>
      <c r="Q13" s="69">
        <f t="shared" ca="1" si="1"/>
        <v>2.201337270341212E-2</v>
      </c>
      <c r="R13" s="18"/>
      <c r="S13" s="95">
        <f>offset+1.735</f>
        <v>7.6850000000000005</v>
      </c>
      <c r="T13" s="65"/>
      <c r="U13" s="70">
        <f t="shared" ca="1" si="17"/>
        <v>-3.2260578109505933</v>
      </c>
      <c r="V13" s="70"/>
      <c r="W13" s="70"/>
      <c r="X13" s="67">
        <f t="shared" si="26"/>
        <v>3</v>
      </c>
      <c r="Y13" s="66">
        <f t="shared" si="2"/>
        <v>3.2</v>
      </c>
      <c r="Z13" s="70">
        <v>0</v>
      </c>
      <c r="AA13" s="6">
        <f t="shared" ref="AA13" si="33">$G$4-((Z13+K13/COS(RADIANS(CS13))/COS(RADIANS(CT13)))/12)*SIN(theta)</f>
        <v>3.1352952387243702</v>
      </c>
      <c r="AB13" s="66">
        <f t="shared" ref="AB13" ca="1" si="34">S13-D13-(Y13+AI13*COS(theta))</f>
        <v>4.3942374277737777</v>
      </c>
      <c r="AC13" s="71">
        <v>0.97641702112888917</v>
      </c>
      <c r="AD13" s="66">
        <f t="shared" ca="1" si="5"/>
        <v>16.417900875355436</v>
      </c>
      <c r="AE13" s="66">
        <f t="shared" ca="1" si="6"/>
        <v>4.3942374277737777</v>
      </c>
      <c r="AF13" s="70">
        <f t="shared" ca="1" si="7"/>
        <v>16.814435348918643</v>
      </c>
      <c r="AG13" s="70">
        <f t="shared" ca="1" si="20"/>
        <v>27.578305129442342</v>
      </c>
      <c r="AH13" s="69">
        <f t="shared" ca="1" si="20"/>
        <v>0.12819265800859991</v>
      </c>
      <c r="AI13">
        <f t="shared" ca="1" si="8"/>
        <v>8.3404512058375388E-2</v>
      </c>
      <c r="AJ13">
        <f t="shared" ca="1" si="9"/>
        <v>1.0008541447005046</v>
      </c>
      <c r="AK13" s="18"/>
      <c r="AL13" s="18"/>
      <c r="AR13" s="11">
        <f t="shared" ca="1" si="29"/>
        <v>4.9124301790798501</v>
      </c>
      <c r="AS13">
        <v>0</v>
      </c>
      <c r="AT13">
        <f ca="1">AT10</f>
        <v>0</v>
      </c>
      <c r="AU13" s="11">
        <f t="shared" ca="1" si="21"/>
        <v>0</v>
      </c>
      <c r="AV13" s="11">
        <f t="shared" ca="1" si="10"/>
        <v>16.908775607525794</v>
      </c>
      <c r="AW13" s="7"/>
      <c r="AX13" s="7"/>
      <c r="AZ13" s="18"/>
      <c r="BI13" s="7">
        <f t="shared" ca="1" si="22"/>
        <v>8.3404512058375388E-2</v>
      </c>
      <c r="BJ13" s="7">
        <f ca="1">IF('Depth profiles'!Q13=0,NA(),'Depth profiles'!Q13)/BI13</f>
        <v>0.26393503373060695</v>
      </c>
      <c r="BK13" s="7">
        <f ca="1">IF(ISBLANK('Depth profiles'!AM13),BK12,'Depth profiles'!AM13)</f>
        <v>17.778238318854811</v>
      </c>
      <c r="BL13" s="7">
        <f ca="1">IF('Depth profiles'!AF13=0,NA(),'Depth profiles'!AF13)/'Depth profiles'!BK13</f>
        <v>0.94578748733984508</v>
      </c>
      <c r="BM13" s="7">
        <f t="shared" ref="BM13" ca="1" si="35">SQRT(32.17*BI13*SIN(theta))</f>
        <v>0.83333269006482935</v>
      </c>
      <c r="BN13" s="7">
        <f t="shared" ref="BN13" ca="1" si="36">25.4*12*11.84*viscosity/BM13</f>
        <v>5.1967220914651738E-2</v>
      </c>
      <c r="BO13" s="7">
        <f t="shared" ref="BO13" ca="1" si="37">(J13/12)*BM13/viscosity</f>
        <v>0</v>
      </c>
      <c r="BP13" s="7"/>
      <c r="BQ13" s="7"/>
      <c r="BR13" s="7"/>
      <c r="BS13" s="95"/>
      <c r="BT13" s="70"/>
      <c r="BU13" s="95"/>
      <c r="BW13" s="66"/>
      <c r="BX13" s="66"/>
      <c r="BY13" s="66"/>
      <c r="BZ13" s="66"/>
      <c r="CA13" s="66"/>
      <c r="CB13" s="68"/>
      <c r="CC13" s="66"/>
      <c r="CD13" s="70"/>
      <c r="CE13" s="70"/>
      <c r="CF13" s="96"/>
      <c r="CG13" s="70"/>
      <c r="CH13" s="70"/>
      <c r="CI13" s="11"/>
      <c r="CJ13" s="70"/>
      <c r="CK13" s="70"/>
      <c r="CR13" t="s">
        <v>183</v>
      </c>
      <c r="CS13" s="68">
        <v>0</v>
      </c>
      <c r="CT13" s="68">
        <v>0</v>
      </c>
      <c r="CZ13" s="46"/>
      <c r="DA13" s="46"/>
    </row>
    <row r="14" spans="1:120">
      <c r="B14" s="63">
        <f t="shared" si="14"/>
        <v>45054</v>
      </c>
      <c r="C14" s="64">
        <f t="shared" si="14"/>
        <v>0.41319444444444442</v>
      </c>
      <c r="D14">
        <v>1.0200000000000001E-2</v>
      </c>
      <c r="E14" t="s">
        <v>185</v>
      </c>
      <c r="F14" s="1" t="str">
        <f t="shared" si="15"/>
        <v>NE 6"</v>
      </c>
      <c r="G14">
        <f t="shared" si="15"/>
        <v>8.1960000000000005E-2</v>
      </c>
      <c r="H14">
        <f t="shared" si="15"/>
        <v>1309.22</v>
      </c>
      <c r="I14" s="66">
        <f t="shared" si="15"/>
        <v>2.9655705844831952</v>
      </c>
      <c r="J14">
        <f t="shared" si="15"/>
        <v>0</v>
      </c>
      <c r="K14">
        <f t="shared" si="15"/>
        <v>3</v>
      </c>
      <c r="L14" s="67" t="e">
        <f t="shared" si="15"/>
        <v>#N/A</v>
      </c>
      <c r="N14" s="17"/>
      <c r="O14" s="68">
        <v>42.1</v>
      </c>
      <c r="P14" s="69" cm="1">
        <f t="array" aca="1" ref="P14" ca="1">INDIRECT("P"&amp;ROW(O14)-1)+(O14-INDIRECT("O"&amp;ROW(O14)-1))*10/25.4</f>
        <v>0.6578612598425202</v>
      </c>
      <c r="Q14" s="69">
        <f t="shared" ca="1" si="1"/>
        <v>5.482177165354335E-2</v>
      </c>
      <c r="R14" s="18"/>
      <c r="S14" s="95">
        <f>offset+2.86</f>
        <v>8.81</v>
      </c>
      <c r="T14" s="65"/>
      <c r="U14" s="70">
        <f t="shared" ca="1" si="17"/>
        <v>-3.2260578109505933</v>
      </c>
      <c r="V14" s="70"/>
      <c r="W14" s="70"/>
      <c r="X14" s="67">
        <f t="shared" si="26"/>
        <v>3</v>
      </c>
      <c r="Y14" s="66">
        <f t="shared" si="2"/>
        <v>3.2</v>
      </c>
      <c r="Z14" s="70">
        <v>0</v>
      </c>
      <c r="AA14" s="6">
        <f t="shared" ref="AA14" si="38">$G$4-((Z14+K14/COS(RADIANS(CS14))/COS(RADIANS(CT14)))/12)*SIN(theta)</f>
        <v>3.1352952387243702</v>
      </c>
      <c r="AB14" s="66">
        <f t="shared" ref="AB14" ca="1" si="39">S14-D14-(Y14+AI14*COS(theta))</f>
        <v>5.5192374277737777</v>
      </c>
      <c r="AC14" s="71">
        <v>0.97641702112888917</v>
      </c>
      <c r="AD14" s="66">
        <f t="shared" ca="1" si="5"/>
        <v>18.399897696535898</v>
      </c>
      <c r="AE14" s="66">
        <f t="shared" ca="1" si="6"/>
        <v>5.5192374277737777</v>
      </c>
      <c r="AF14" s="70">
        <f t="shared" ca="1" si="7"/>
        <v>18.844302483853436</v>
      </c>
      <c r="AG14" s="70">
        <f t="shared" ca="1" si="20"/>
        <v>27.578305129442342</v>
      </c>
      <c r="AH14" s="69">
        <f t="shared" ca="1" si="20"/>
        <v>0.12819265800859991</v>
      </c>
      <c r="AI14">
        <f t="shared" ca="1" si="8"/>
        <v>8.3404512058375388E-2</v>
      </c>
      <c r="AJ14">
        <f t="shared" ca="1" si="9"/>
        <v>1.0008541447005046</v>
      </c>
      <c r="AK14" s="18"/>
      <c r="AL14" s="18"/>
      <c r="AR14" s="11">
        <f t="shared" ca="1" si="29"/>
        <v>4.9124301790798501</v>
      </c>
      <c r="AS14">
        <v>0</v>
      </c>
      <c r="AT14">
        <f t="shared" ref="AT14:AT15" ca="1" si="40">AT11</f>
        <v>17.778238318854811</v>
      </c>
      <c r="AU14" s="11">
        <f t="shared" ca="1" si="21"/>
        <v>0</v>
      </c>
      <c r="AV14" s="11">
        <f t="shared" ca="1" si="10"/>
        <v>19.00687042722144</v>
      </c>
      <c r="AW14" s="7"/>
      <c r="AX14" s="7"/>
      <c r="AZ14" s="18"/>
      <c r="BI14" s="7">
        <f t="shared" ca="1" si="22"/>
        <v>8.3404512058375388E-2</v>
      </c>
      <c r="BJ14" s="7">
        <f ca="1">IF('Depth profiles'!Q14=0,NA(),'Depth profiles'!Q14)/BI14</f>
        <v>0.65729983067550612</v>
      </c>
      <c r="BK14" s="7">
        <f ca="1">IF(ISBLANK('Depth profiles'!AM14),BK13,'Depth profiles'!AM14)</f>
        <v>17.778238318854811</v>
      </c>
      <c r="BL14" s="7">
        <f ca="1">IF('Depth profiles'!AF14=0,NA(),'Depth profiles'!AF14)/'Depth profiles'!BK14</f>
        <v>1.0599645558732331</v>
      </c>
      <c r="BM14" s="7">
        <f t="shared" ref="BM14" ca="1" si="41">SQRT(32.17*BI14*SIN(theta))</f>
        <v>0.83333269006482935</v>
      </c>
      <c r="BN14" s="7">
        <f t="shared" ref="BN14" ca="1" si="42">25.4*12*11.84*viscosity/BM14</f>
        <v>5.1967220914651738E-2</v>
      </c>
      <c r="BO14" s="7">
        <f t="shared" ref="BO14" ca="1" si="43">(J14/12)*BM14/viscosity</f>
        <v>0</v>
      </c>
      <c r="BP14" s="7"/>
      <c r="BQ14" s="7"/>
      <c r="BR14" s="7"/>
      <c r="BS14" s="95"/>
      <c r="BT14" s="70"/>
      <c r="BU14" s="95"/>
      <c r="BW14" s="66"/>
      <c r="BX14" s="66"/>
      <c r="BY14" s="66"/>
      <c r="BZ14" s="66"/>
      <c r="CA14" s="66"/>
      <c r="CB14" s="68"/>
      <c r="CC14" s="66"/>
      <c r="CD14" s="70"/>
      <c r="CE14" s="70"/>
      <c r="CF14" s="96"/>
      <c r="CG14" s="70"/>
      <c r="CH14" s="70"/>
      <c r="CI14" s="11"/>
      <c r="CJ14" s="70"/>
      <c r="CK14" s="70"/>
      <c r="CR14" t="s">
        <v>183</v>
      </c>
      <c r="CS14" s="68">
        <v>0</v>
      </c>
      <c r="CT14" s="68">
        <v>0</v>
      </c>
      <c r="CZ14" s="46"/>
      <c r="DA14" s="46"/>
    </row>
    <row r="15" spans="1:120">
      <c r="B15" s="80">
        <f t="shared" si="14"/>
        <v>45054</v>
      </c>
      <c r="C15" s="81">
        <f t="shared" si="14"/>
        <v>0.41319444444444442</v>
      </c>
      <c r="D15" s="4">
        <v>1.0200000000000001E-2</v>
      </c>
      <c r="E15" s="4" t="s">
        <v>185</v>
      </c>
      <c r="F15" s="82" t="str">
        <f t="shared" si="15"/>
        <v>NE 6"</v>
      </c>
      <c r="G15" s="4">
        <f t="shared" si="15"/>
        <v>8.1960000000000005E-2</v>
      </c>
      <c r="H15" s="4">
        <f t="shared" si="15"/>
        <v>1309.22</v>
      </c>
      <c r="I15" s="83">
        <f t="shared" si="15"/>
        <v>2.9655705844831952</v>
      </c>
      <c r="J15" s="4">
        <f t="shared" si="15"/>
        <v>0</v>
      </c>
      <c r="K15" s="4">
        <f t="shared" si="15"/>
        <v>3</v>
      </c>
      <c r="L15" s="84" t="e">
        <f t="shared" si="15"/>
        <v>#N/A</v>
      </c>
      <c r="M15" s="4"/>
      <c r="N15" s="85"/>
      <c r="O15" s="86">
        <v>42.4</v>
      </c>
      <c r="P15" s="87" cm="1">
        <f t="array" aca="1" ref="P15" ca="1">INDIRECT("P"&amp;ROW(O15)-1)+(O15-INDIRECT("O"&amp;ROW(O15)-1))*10/25.4</f>
        <v>0.77597149606299154</v>
      </c>
      <c r="Q15" s="87">
        <f t="shared" ca="1" si="1"/>
        <v>6.4664291338582633E-2</v>
      </c>
      <c r="R15" s="88"/>
      <c r="S15" s="97">
        <f>offset+3.325</f>
        <v>9.2750000000000004</v>
      </c>
      <c r="T15" s="89"/>
      <c r="U15" s="90">
        <f t="shared" ca="1" si="17"/>
        <v>-3.2260578109505933</v>
      </c>
      <c r="V15" s="90"/>
      <c r="W15" s="90"/>
      <c r="X15" s="84">
        <f t="shared" si="26"/>
        <v>3</v>
      </c>
      <c r="Y15" s="83">
        <f t="shared" si="2"/>
        <v>3.2</v>
      </c>
      <c r="Z15" s="90">
        <v>0</v>
      </c>
      <c r="AA15" s="91">
        <f t="shared" ref="AA15:AA19" si="44">$G$4-((Z15+K15/COS(RADIANS(CS15))/COS(RADIANS(CT15)))/12)*SIN(theta)</f>
        <v>3.1352952387243702</v>
      </c>
      <c r="AB15" s="83">
        <f t="shared" ref="AB15:AB19" ca="1" si="45">S15-D15-(Y15+AI15*COS(theta))</f>
        <v>5.9842374277737775</v>
      </c>
      <c r="AC15" s="92">
        <v>0.97641702112888917</v>
      </c>
      <c r="AD15" s="83">
        <f t="shared" ca="1" si="5"/>
        <v>19.159328238750522</v>
      </c>
      <c r="AE15" s="83">
        <f t="shared" ca="1" si="6"/>
        <v>5.9842374277737775</v>
      </c>
      <c r="AF15" s="90">
        <f t="shared" ca="1" si="7"/>
        <v>19.622075224169457</v>
      </c>
      <c r="AG15" s="90">
        <f t="shared" ca="1" si="20"/>
        <v>27.578305129442342</v>
      </c>
      <c r="AH15" s="87">
        <f t="shared" ca="1" si="20"/>
        <v>0.12819265800859991</v>
      </c>
      <c r="AI15" s="4">
        <f t="shared" ca="1" si="8"/>
        <v>8.3404512058375388E-2</v>
      </c>
      <c r="AJ15" s="4">
        <f t="shared" ca="1" si="9"/>
        <v>1.0008541447005046</v>
      </c>
      <c r="AK15" s="88"/>
      <c r="AL15" s="88"/>
      <c r="AM15" s="4"/>
      <c r="AN15" s="4"/>
      <c r="AO15" s="4"/>
      <c r="AP15" s="4"/>
      <c r="AQ15" s="4"/>
      <c r="AR15" s="93">
        <f t="shared" ca="1" si="29"/>
        <v>4.9124301790798501</v>
      </c>
      <c r="AS15" s="93">
        <v>0</v>
      </c>
      <c r="AT15" s="93">
        <f t="shared" ca="1" si="40"/>
        <v>0</v>
      </c>
      <c r="AU15" s="93">
        <f t="shared" ca="1" si="21"/>
        <v>0</v>
      </c>
      <c r="AV15" s="93">
        <f t="shared" ca="1" si="10"/>
        <v>19.413484630961527</v>
      </c>
      <c r="AW15" s="94"/>
      <c r="AX15" s="94"/>
      <c r="AY15" s="4"/>
      <c r="AZ15" s="88"/>
      <c r="BA15" s="4"/>
      <c r="BB15" s="4"/>
      <c r="BC15" s="4"/>
      <c r="BD15" s="4"/>
      <c r="BE15" s="4"/>
      <c r="BF15" s="4"/>
      <c r="BG15" s="4"/>
      <c r="BH15" s="4"/>
      <c r="BI15" s="94">
        <f t="shared" ca="1" si="22"/>
        <v>8.3404512058375388E-2</v>
      </c>
      <c r="BJ15" s="94">
        <f ca="1">IF('Depth profiles'!Q15=0,NA(),'Depth profiles'!Q15)/BI15</f>
        <v>0.77530926975897485</v>
      </c>
      <c r="BK15" s="94">
        <f ca="1">IF(ISBLANK('Depth profiles'!AM15),BK14,'Depth profiles'!AM15)</f>
        <v>17.778238318854811</v>
      </c>
      <c r="BL15" s="94">
        <f ca="1">IF('Depth profiles'!AF15=0,NA(),'Depth profiles'!AF15)/'Depth profiles'!BK15</f>
        <v>1.1037131391899024</v>
      </c>
      <c r="BM15" s="94">
        <f t="shared" ref="BM15:BM19" ca="1" si="46">SQRT(32.17*BI15*SIN(theta))</f>
        <v>0.83333269006482935</v>
      </c>
      <c r="BN15" s="94">
        <f t="shared" ref="BN15:BN19" ca="1" si="47">25.4*12*11.84*viscosity/BM15</f>
        <v>5.1967220914651738E-2</v>
      </c>
      <c r="BO15" s="94">
        <f t="shared" ref="BO15:BO19" ca="1" si="48">(J15/12)*BM15/viscosity</f>
        <v>0</v>
      </c>
      <c r="BP15" s="94"/>
      <c r="BQ15" s="94"/>
      <c r="BR15" s="94"/>
      <c r="BS15" s="97"/>
      <c r="BT15" s="90"/>
      <c r="BU15" s="97"/>
      <c r="BV15" s="4"/>
      <c r="BW15" s="83"/>
      <c r="BX15" s="83"/>
      <c r="BY15" s="83"/>
      <c r="BZ15" s="83"/>
      <c r="CA15" s="83"/>
      <c r="CB15" s="86"/>
      <c r="CC15" s="83"/>
      <c r="CD15" s="90"/>
      <c r="CE15" s="90"/>
      <c r="CF15" s="98"/>
      <c r="CG15" s="90"/>
      <c r="CH15" s="90"/>
      <c r="CI15" s="93"/>
      <c r="CJ15" s="90"/>
      <c r="CK15" s="90"/>
      <c r="CL15" s="4"/>
      <c r="CM15" s="4"/>
      <c r="CN15" s="4"/>
      <c r="CO15" s="4"/>
      <c r="CP15" s="4"/>
      <c r="CQ15" s="4"/>
      <c r="CR15" s="4" t="s">
        <v>183</v>
      </c>
      <c r="CS15" s="86">
        <v>0</v>
      </c>
      <c r="CT15" s="86">
        <v>0</v>
      </c>
      <c r="CZ15" s="46"/>
      <c r="DA15" s="46"/>
    </row>
    <row r="16" spans="1:120">
      <c r="A16" s="1" t="s">
        <v>186</v>
      </c>
      <c r="B16" s="63">
        <v>45055</v>
      </c>
      <c r="C16" s="64">
        <v>0.45833333333333331</v>
      </c>
      <c r="D16">
        <v>1.0200000000000001E-2</v>
      </c>
      <c r="E16" t="s">
        <v>185</v>
      </c>
      <c r="F16" s="1" t="s">
        <v>184</v>
      </c>
      <c r="G16">
        <v>8.1960000000000005E-2</v>
      </c>
      <c r="H16" s="68">
        <f>609.52*0+1310</f>
        <v>1310</v>
      </c>
      <c r="I16" s="66">
        <f t="shared" ref="I16" si="49">G16*H16^0.5*1</f>
        <v>2.9664538587343645</v>
      </c>
      <c r="J16">
        <v>0</v>
      </c>
      <c r="K16">
        <v>3</v>
      </c>
      <c r="L16" s="67" t="e">
        <f>NA()</f>
        <v>#N/A</v>
      </c>
      <c r="M16">
        <f>O16-(P16-0.052/2)*2.54</f>
        <v>40.5</v>
      </c>
      <c r="N16" s="100" cm="1">
        <f t="array" aca="1" ref="N16" ca="1">CORREL(LOG(AD16:AD20),LOG(P16:P20))</f>
        <v>0.99953962378071837</v>
      </c>
      <c r="O16" s="68">
        <v>40.5</v>
      </c>
      <c r="P16" s="6">
        <f>0.052/2+0</f>
        <v>2.5999999999999999E-2</v>
      </c>
      <c r="Q16" s="69">
        <f t="shared" ref="Q16:Q19" si="50">P16/12</f>
        <v>2.1666666666666666E-3</v>
      </c>
      <c r="R16" s="18"/>
      <c r="S16" s="95">
        <v>5.9050000000000002</v>
      </c>
      <c r="T16" s="95">
        <v>0</v>
      </c>
      <c r="U16" s="70">
        <f ca="1">T16-AA16-D16-AI16*COS(theta)</f>
        <v>-3.2252473691989576</v>
      </c>
      <c r="V16" s="70"/>
      <c r="W16" s="70"/>
      <c r="X16" s="67">
        <v>3</v>
      </c>
      <c r="Y16" s="66">
        <f t="shared" ref="Y16:Y19" si="51">$G$4+R16+SIN(theta)*(X16-K16/COS(RADIANS(CT16))/COS(RADIANS(CS16)))/12</f>
        <v>3.2</v>
      </c>
      <c r="Z16" s="70">
        <v>0</v>
      </c>
      <c r="AA16" s="6">
        <f t="shared" si="44"/>
        <v>3.1352952387243702</v>
      </c>
      <c r="AB16" s="66">
        <f t="shared" ca="1" si="45"/>
        <v>2.6150478695254127</v>
      </c>
      <c r="AC16" s="71">
        <v>0.97641702112888917</v>
      </c>
      <c r="AD16" s="66">
        <f t="shared" ref="AD16:AD19" ca="1" si="52">SQRT(2*32.17*AB16)*AC16*$AD$2</f>
        <v>12.665306128412611</v>
      </c>
      <c r="AE16" s="66">
        <f t="shared" ref="AE16:AE19" ca="1" si="53">AB16*$AD$2^2</f>
        <v>2.6150478695254127</v>
      </c>
      <c r="AF16" s="70">
        <f t="shared" ref="AF16:AF19" ca="1" si="54">SQRT(2*32.17*AE16)</f>
        <v>12.971205800744396</v>
      </c>
      <c r="AG16" s="72" cm="1">
        <f t="array" aca="1" ref="AG16" ca="1">IFERROR(10^INTERCEPT(LOG(AF16:AF20),LOG(Q16:Q20)),30)</f>
        <v>27.014246742110654</v>
      </c>
      <c r="AH16" s="73" cm="1">
        <f t="array" aca="1" ref="AH16" ca="1">IFERROR(SLOPE(LOG(AF16:AF20),LOG(Q16:Q20)),0.1)</f>
        <v>0.11862804368096642</v>
      </c>
      <c r="AI16" s="11">
        <f t="shared" ref="AI16:AI19" ca="1" si="55">((I16/2)*(1+AH16)/AG16)^(1/(1+AH16))</f>
        <v>8.2565481017297049E-2</v>
      </c>
      <c r="AJ16" s="11">
        <f t="shared" ref="AJ16:AJ19" ca="1" si="56">AI16*12</f>
        <v>0.99078577220756459</v>
      </c>
      <c r="AK16" s="70" t="e">
        <f ca="1">AJ16/J16</f>
        <v>#DIV/0!</v>
      </c>
      <c r="AL16" s="70">
        <f ca="1">K16/AJ16</f>
        <v>3.0278997581038287</v>
      </c>
      <c r="AM16" s="11">
        <f ca="1">I16/2/AI16</f>
        <v>17.964249842575903</v>
      </c>
      <c r="AN16" s="70">
        <f ca="1">AM16/SQRT(32.17*AI16*COS(theta))</f>
        <v>11.215339103209246</v>
      </c>
      <c r="AO16" s="70" t="e">
        <f>I16/2/SQRT(32.17*COS(theta)*(J16/12)^3)</f>
        <v>#DIV/0!</v>
      </c>
      <c r="AP16" s="70" t="e">
        <f ca="1">AM16/SQRT(32.17*COS(theta)*(J16/12))</f>
        <v>#DIV/0!</v>
      </c>
      <c r="AQ16" s="99" t="e">
        <f ca="1">SQRT(2*32.17*U16)/SQRT(32.17*COS(theta)*(K16/12))</f>
        <v>#NUM!</v>
      </c>
      <c r="AR16" s="11">
        <f ca="1">AM16^2/2/32.17</f>
        <v>5.015764258726894</v>
      </c>
      <c r="AS16" s="11">
        <f>J16/12</f>
        <v>0</v>
      </c>
      <c r="AT16" s="11">
        <f ca="1">AG16*(J16*$AT$5/12)^(AH16)</f>
        <v>0</v>
      </c>
      <c r="AU16" s="11">
        <f ca="1">AT16^2/2/32.17</f>
        <v>0</v>
      </c>
      <c r="AV16" s="11">
        <f t="shared" ref="AV16:AV19" ca="1" si="57">AG16*Q16^AH16</f>
        <v>13.047974262862148</v>
      </c>
      <c r="AW16" s="7">
        <f ca="1">J16/(AJ16-J16)</f>
        <v>0</v>
      </c>
      <c r="AX16" s="74">
        <f ca="1">K16/(AJ16-J16)</f>
        <v>3.0278997581038287</v>
      </c>
      <c r="AY16" s="75">
        <f ca="1">U16/AR16</f>
        <v>-0.6430221204250921</v>
      </c>
      <c r="AZ16" s="6" t="e">
        <f>K16/J16</f>
        <v>#DIV/0!</v>
      </c>
      <c r="BA16" s="10" t="e">
        <f ca="1">(SQRT(2*32.17*U16)/AG16)^(1/AH16)/(J16/12)</f>
        <v>#NUM!</v>
      </c>
      <c r="BB16" s="10" t="e">
        <f ca="1">(SQRT(2*32.17*U16)/AG16)^(1/AH16)/AI16</f>
        <v>#NUM!</v>
      </c>
      <c r="BC16" s="75" t="e">
        <f ca="1">(AY16-(1+$BB$60)*(0.8223*#REF!+0.5707+1)^-1)^2</f>
        <v>#REF!</v>
      </c>
      <c r="BD16" s="76" t="e">
        <f ca="1">304.8*(SQRT(2*32.17*U16)/AG16)^(1/AH16)</f>
        <v>#NUM!</v>
      </c>
      <c r="BE16" s="77" t="e">
        <f ca="1">AG16*(J16*$BE$5/12)^(AH16)*(AND($BE$5&gt;0,$BE$5&lt;&gt;2))+AM16*($BE$5=0)+SQRT(2*32.17*U16)*($BE$5=2)</f>
        <v>#NUM!</v>
      </c>
      <c r="BF16" s="78" t="e">
        <f ca="1">BE16*4*AI16/viscosity</f>
        <v>#NUM!</v>
      </c>
      <c r="BG16" s="78" t="e">
        <f ca="1">BE16*J16/12/viscosity</f>
        <v>#NUM!</v>
      </c>
      <c r="BH16" s="77">
        <f ca="1">IFERROR((2*LOG10(2/($BH$5/AI16))+1.74-2*LOG10(1+18.7*2/($BH$5/AI16)/(BF16*BH16^0.5)))^-2,0.02)</f>
        <v>0.02</v>
      </c>
      <c r="BI16" s="74">
        <f ca="1">IF(ISBLANK(AI16),#REF!,AI16)</f>
        <v>8.2565481017297049E-2</v>
      </c>
      <c r="BJ16" s="74">
        <f ca="1">IF('Depth profiles'!Q16=0,NA(),'Depth profiles'!Q16)/BI16</f>
        <v>2.6241797903566514E-2</v>
      </c>
      <c r="BK16" s="74">
        <f ca="1">IF(ISBLANK('Depth profiles'!AM16),BK675,'Depth profiles'!AM16)</f>
        <v>17.964249842575903</v>
      </c>
      <c r="BL16" s="74">
        <f ca="1">IF('Depth profiles'!AF16=0,NA(),'Depth profiles'!AF16)/'Depth profiles'!BK16</f>
        <v>0.7220566355073833</v>
      </c>
      <c r="BM16" s="74">
        <f t="shared" ca="1" si="46"/>
        <v>0.82913052337546567</v>
      </c>
      <c r="BN16" s="74">
        <f t="shared" ca="1" si="47"/>
        <v>5.2230599138598101E-2</v>
      </c>
      <c r="BO16" s="74">
        <f t="shared" ca="1" si="48"/>
        <v>0</v>
      </c>
      <c r="BP16" s="74">
        <f ca="1">(1+AH16)^3/(1+3*AH16)</f>
        <v>1.0323679905661904</v>
      </c>
      <c r="BQ16" s="74" t="e">
        <f ca="1">($BQ$7/AK16)^(3*AH16)*(1+AH16)^3/(1+3*AH16)</f>
        <v>#DIV/0!</v>
      </c>
      <c r="BR16" s="74" t="e">
        <f ca="1">(U16/(BQ16*AR16))*(1+$BR$3*AZ16)</f>
        <v>#DIV/0!</v>
      </c>
      <c r="BS16" s="95"/>
      <c r="BT16" s="70"/>
      <c r="BU16" s="95"/>
      <c r="BW16" s="66"/>
      <c r="BX16" s="66"/>
      <c r="BY16" s="66"/>
      <c r="BZ16" s="66"/>
      <c r="CA16" s="66"/>
      <c r="CB16" s="68"/>
      <c r="CC16" s="66"/>
      <c r="CD16" s="70"/>
      <c r="CE16" s="70"/>
      <c r="CF16" s="96"/>
      <c r="CG16" s="70"/>
      <c r="CH16" s="70"/>
      <c r="CI16" s="11"/>
      <c r="CJ16" s="70"/>
      <c r="CK16" s="70"/>
      <c r="CR16" t="s">
        <v>183</v>
      </c>
      <c r="CS16" s="68">
        <v>0</v>
      </c>
      <c r="CT16" s="68">
        <v>0</v>
      </c>
      <c r="DA16" s="46"/>
      <c r="DD16" s="18"/>
      <c r="DE16" s="18"/>
    </row>
    <row r="17" spans="1:109">
      <c r="B17" s="63">
        <f t="shared" ref="B17:C17" si="58">B16</f>
        <v>45055</v>
      </c>
      <c r="C17" s="64">
        <f t="shared" si="58"/>
        <v>0.45833333333333331</v>
      </c>
      <c r="D17">
        <v>1.0200000000000001E-2</v>
      </c>
      <c r="E17" t="s">
        <v>185</v>
      </c>
      <c r="F17" s="1" t="str">
        <f t="shared" ref="F17:H17" si="59">F16</f>
        <v>NE 6"</v>
      </c>
      <c r="G17">
        <f t="shared" si="59"/>
        <v>8.1960000000000005E-2</v>
      </c>
      <c r="H17">
        <f t="shared" si="59"/>
        <v>1310</v>
      </c>
      <c r="I17" s="66">
        <f>I16</f>
        <v>2.9664538587343645</v>
      </c>
      <c r="J17">
        <f t="shared" ref="J17:L17" si="60">J16</f>
        <v>0</v>
      </c>
      <c r="K17">
        <f t="shared" si="60"/>
        <v>3</v>
      </c>
      <c r="L17" s="67" t="e">
        <f t="shared" si="60"/>
        <v>#N/A</v>
      </c>
      <c r="N17" s="17"/>
      <c r="O17" s="68">
        <v>40.549999999999997</v>
      </c>
      <c r="P17" s="79" cm="1">
        <f t="array" aca="1" ref="P17" ca="1">INDIRECT("P"&amp;ROW(O17)-1)+(O17-INDIRECT("O"&amp;ROW(O17)-1))*10/25.4</f>
        <v>4.5685039370077618E-2</v>
      </c>
      <c r="Q17" s="69">
        <f t="shared" ca="1" si="50"/>
        <v>3.807086614173135E-3</v>
      </c>
      <c r="R17" s="18"/>
      <c r="S17" s="95">
        <f>offset+0.4</f>
        <v>6.3500000000000005</v>
      </c>
      <c r="T17" s="65"/>
      <c r="U17" s="70">
        <f t="shared" ca="1" si="17"/>
        <v>-3.2252473691989576</v>
      </c>
      <c r="V17" s="70"/>
      <c r="W17" s="70"/>
      <c r="X17" s="67">
        <f>X16</f>
        <v>3</v>
      </c>
      <c r="Y17" s="66">
        <f t="shared" si="51"/>
        <v>3.2</v>
      </c>
      <c r="Z17" s="70">
        <v>0</v>
      </c>
      <c r="AA17" s="6">
        <f t="shared" si="44"/>
        <v>3.1352952387243702</v>
      </c>
      <c r="AB17" s="66">
        <f t="shared" ca="1" si="45"/>
        <v>3.060047869525413</v>
      </c>
      <c r="AC17" s="71">
        <v>0.97641702112888917</v>
      </c>
      <c r="AD17" s="66">
        <f t="shared" ca="1" si="52"/>
        <v>13.700612400011014</v>
      </c>
      <c r="AE17" s="66">
        <f t="shared" ca="1" si="53"/>
        <v>3.060047869525413</v>
      </c>
      <c r="AF17" s="70">
        <f t="shared" ca="1" si="54"/>
        <v>14.031517377862777</v>
      </c>
      <c r="AG17" s="70">
        <f t="shared" ref="AG17:AH17" ca="1" si="61">AG16</f>
        <v>27.014246742110654</v>
      </c>
      <c r="AH17" s="69">
        <f t="shared" ca="1" si="61"/>
        <v>0.11862804368096642</v>
      </c>
      <c r="AI17">
        <f t="shared" ca="1" si="55"/>
        <v>8.2565481017297049E-2</v>
      </c>
      <c r="AJ17">
        <f t="shared" ca="1" si="56"/>
        <v>0.99078577220756459</v>
      </c>
      <c r="AK17" s="18"/>
      <c r="AL17" s="18"/>
      <c r="AR17" s="11">
        <f ca="1">AR16</f>
        <v>5.015764258726894</v>
      </c>
      <c r="AS17">
        <f>AS16</f>
        <v>0</v>
      </c>
      <c r="AT17">
        <f ca="1">AM16</f>
        <v>17.964249842575903</v>
      </c>
      <c r="AU17" s="11">
        <f t="shared" ca="1" si="21"/>
        <v>0</v>
      </c>
      <c r="AV17" s="11">
        <f t="shared" ca="1" si="57"/>
        <v>13.950292517880669</v>
      </c>
      <c r="AW17" s="7"/>
      <c r="AX17" s="7"/>
      <c r="AZ17" s="18"/>
      <c r="BI17" s="7">
        <f t="shared" ref="BI17:BI19" ca="1" si="62">IF(ISBLANK(AI17),BI16,AI17)</f>
        <v>8.2565481017297049E-2</v>
      </c>
      <c r="BJ17" s="7">
        <f ca="1">IF('Depth profiles'!Q17=0,NA(),'Depth profiles'!Q17)/BI17</f>
        <v>4.6109906552540637E-2</v>
      </c>
      <c r="BK17" s="7">
        <f ca="1">IF(ISBLANK('Depth profiles'!AM17),BK16,'Depth profiles'!AM17)</f>
        <v>17.964249842575903</v>
      </c>
      <c r="BL17" s="7">
        <f ca="1">IF('Depth profiles'!AF17=0,NA(),'Depth profiles'!AF17)/'Depth profiles'!BK17</f>
        <v>0.78108006183523382</v>
      </c>
      <c r="BM17" s="7">
        <f t="shared" ca="1" si="46"/>
        <v>0.82913052337546567</v>
      </c>
      <c r="BN17" s="7">
        <f t="shared" ca="1" si="47"/>
        <v>5.2230599138598101E-2</v>
      </c>
      <c r="BO17" s="7">
        <f t="shared" ca="1" si="48"/>
        <v>0</v>
      </c>
      <c r="BP17" s="7"/>
      <c r="BQ17" s="7"/>
      <c r="BR17" s="7"/>
      <c r="BS17" s="95"/>
      <c r="BT17" s="70"/>
      <c r="BU17" s="95"/>
      <c r="BW17" s="66"/>
      <c r="BX17" s="66"/>
      <c r="BY17" s="66"/>
      <c r="BZ17" s="66"/>
      <c r="CA17" s="66"/>
      <c r="CB17" s="68"/>
      <c r="CC17" s="66"/>
      <c r="CD17" s="70"/>
      <c r="CE17" s="70"/>
      <c r="CF17" s="96"/>
      <c r="CG17" s="70"/>
      <c r="CH17" s="70"/>
      <c r="CI17" s="11"/>
      <c r="CJ17" s="70"/>
      <c r="CK17" s="70"/>
      <c r="CR17" t="s">
        <v>183</v>
      </c>
      <c r="CS17" s="68">
        <v>0</v>
      </c>
      <c r="CT17" s="68">
        <v>0</v>
      </c>
      <c r="CZ17" s="46"/>
      <c r="DA17" s="46"/>
    </row>
    <row r="18" spans="1:109">
      <c r="B18" s="63">
        <f t="shared" ref="B18:C18" si="63">B17</f>
        <v>45055</v>
      </c>
      <c r="C18" s="64">
        <f t="shared" si="63"/>
        <v>0.45833333333333331</v>
      </c>
      <c r="D18">
        <v>1.0200000000000001E-2</v>
      </c>
      <c r="E18" t="s">
        <v>185</v>
      </c>
      <c r="F18" s="1" t="str">
        <f t="shared" ref="F18:L18" si="64">F17</f>
        <v>NE 6"</v>
      </c>
      <c r="G18">
        <f t="shared" si="64"/>
        <v>8.1960000000000005E-2</v>
      </c>
      <c r="H18">
        <f t="shared" si="64"/>
        <v>1310</v>
      </c>
      <c r="I18" s="66">
        <f t="shared" si="64"/>
        <v>2.9664538587343645</v>
      </c>
      <c r="J18">
        <f t="shared" si="64"/>
        <v>0</v>
      </c>
      <c r="K18">
        <f t="shared" si="64"/>
        <v>3</v>
      </c>
      <c r="L18" s="67" t="e">
        <f t="shared" si="64"/>
        <v>#N/A</v>
      </c>
      <c r="N18" s="17"/>
      <c r="O18" s="68">
        <v>40.700000000000003</v>
      </c>
      <c r="P18" s="69" cm="1">
        <f t="array" aca="1" ref="P18" ca="1">INDIRECT("P"&amp;ROW(O18)-1)+(O18-INDIRECT("O"&amp;ROW(O18)-1))*10/25.4</f>
        <v>0.10474015748031608</v>
      </c>
      <c r="Q18" s="69">
        <f t="shared" ca="1" si="50"/>
        <v>8.728346456693006E-3</v>
      </c>
      <c r="R18" s="18"/>
      <c r="S18" s="95">
        <f>offset+1.045</f>
        <v>6.9950000000000001</v>
      </c>
      <c r="T18" s="65"/>
      <c r="U18" s="70">
        <f t="shared" ca="1" si="17"/>
        <v>-3.2252473691989576</v>
      </c>
      <c r="V18" s="70"/>
      <c r="W18" s="70"/>
      <c r="X18" s="67">
        <f t="shared" ref="X18:X20" si="65">X17</f>
        <v>3</v>
      </c>
      <c r="Y18" s="66">
        <f t="shared" si="51"/>
        <v>3.2</v>
      </c>
      <c r="Z18" s="70">
        <v>0</v>
      </c>
      <c r="AA18" s="6">
        <f t="shared" si="44"/>
        <v>3.1352952387243702</v>
      </c>
      <c r="AB18" s="66">
        <f t="shared" ca="1" si="45"/>
        <v>3.7050478695254125</v>
      </c>
      <c r="AC18" s="71">
        <v>0.97641702112888917</v>
      </c>
      <c r="AD18" s="66">
        <f t="shared" ca="1" si="52"/>
        <v>15.075536674590726</v>
      </c>
      <c r="AE18" s="66">
        <f t="shared" ca="1" si="53"/>
        <v>3.7050478695254125</v>
      </c>
      <c r="AF18" s="70">
        <f t="shared" ca="1" si="54"/>
        <v>15.439649605002863</v>
      </c>
      <c r="AG18" s="70">
        <f t="shared" ref="AG18:AH18" ca="1" si="66">AG17</f>
        <v>27.014246742110654</v>
      </c>
      <c r="AH18" s="69">
        <f t="shared" ca="1" si="66"/>
        <v>0.11862804368096642</v>
      </c>
      <c r="AI18">
        <f t="shared" ca="1" si="55"/>
        <v>8.2565481017297049E-2</v>
      </c>
      <c r="AJ18">
        <f t="shared" ca="1" si="56"/>
        <v>0.99078577220756459</v>
      </c>
      <c r="AK18" s="18"/>
      <c r="AL18" s="18"/>
      <c r="AR18" s="11">
        <f t="shared" ref="AR18:AR20" ca="1" si="67">AR17</f>
        <v>5.015764258726894</v>
      </c>
      <c r="AS18">
        <f>AS16</f>
        <v>0</v>
      </c>
      <c r="AT18">
        <f ca="1">AT16</f>
        <v>0</v>
      </c>
      <c r="AU18" s="11">
        <f t="shared" ca="1" si="21"/>
        <v>0</v>
      </c>
      <c r="AV18" s="11">
        <f t="shared" ca="1" si="57"/>
        <v>15.393226185074402</v>
      </c>
      <c r="AW18" s="7"/>
      <c r="AX18" s="7"/>
      <c r="AZ18" s="18"/>
      <c r="BI18" s="7">
        <f t="shared" ca="1" si="62"/>
        <v>8.2565481017297049E-2</v>
      </c>
      <c r="BJ18" s="7">
        <f ca="1">IF('Depth profiles'!Q18=0,NA(),'Depth profiles'!Q18)/BI18</f>
        <v>0.10571423249946865</v>
      </c>
      <c r="BK18" s="7">
        <f ca="1">IF(ISBLANK('Depth profiles'!AM18),BK17,'Depth profiles'!AM18)</f>
        <v>17.964249842575903</v>
      </c>
      <c r="BL18" s="7">
        <f ca="1">IF('Depth profiles'!AF18=0,NA(),'Depth profiles'!AF18)/'Depth profiles'!BK18</f>
        <v>0.85946531251254099</v>
      </c>
      <c r="BM18" s="7">
        <f t="shared" ca="1" si="46"/>
        <v>0.82913052337546567</v>
      </c>
      <c r="BN18" s="7">
        <f t="shared" ca="1" si="47"/>
        <v>5.2230599138598101E-2</v>
      </c>
      <c r="BO18" s="7">
        <f t="shared" ca="1" si="48"/>
        <v>0</v>
      </c>
      <c r="BP18" s="7"/>
      <c r="BQ18" s="7"/>
      <c r="BR18" s="7"/>
      <c r="BS18" s="95"/>
      <c r="BT18" s="70"/>
      <c r="BU18" s="95"/>
      <c r="BW18" s="66"/>
      <c r="BX18" s="66"/>
      <c r="BY18" s="66"/>
      <c r="BZ18" s="66"/>
      <c r="CA18" s="66"/>
      <c r="CB18" s="68"/>
      <c r="CC18" s="66"/>
      <c r="CD18" s="70"/>
      <c r="CE18" s="70"/>
      <c r="CF18" s="96"/>
      <c r="CG18" s="70"/>
      <c r="CH18" s="70"/>
      <c r="CI18" s="11"/>
      <c r="CJ18" s="70"/>
      <c r="CK18" s="70"/>
      <c r="CR18" t="s">
        <v>183</v>
      </c>
      <c r="CS18" s="68">
        <v>0</v>
      </c>
      <c r="CT18" s="68">
        <v>0</v>
      </c>
      <c r="CZ18" s="46"/>
      <c r="DA18" s="46"/>
    </row>
    <row r="19" spans="1:109">
      <c r="B19" s="63">
        <f t="shared" ref="B19:C20" si="68">B18</f>
        <v>45055</v>
      </c>
      <c r="C19" s="64">
        <f t="shared" si="68"/>
        <v>0.45833333333333331</v>
      </c>
      <c r="D19">
        <v>1.0200000000000001E-2</v>
      </c>
      <c r="E19" t="s">
        <v>185</v>
      </c>
      <c r="F19" s="1" t="str">
        <f t="shared" ref="F19:L20" si="69">F18</f>
        <v>NE 6"</v>
      </c>
      <c r="G19">
        <f t="shared" si="69"/>
        <v>8.1960000000000005E-2</v>
      </c>
      <c r="H19">
        <f t="shared" si="69"/>
        <v>1310</v>
      </c>
      <c r="I19" s="66">
        <f t="shared" si="69"/>
        <v>2.9664538587343645</v>
      </c>
      <c r="J19">
        <f t="shared" si="69"/>
        <v>0</v>
      </c>
      <c r="K19">
        <f t="shared" si="69"/>
        <v>3</v>
      </c>
      <c r="L19" s="67" t="e">
        <f t="shared" si="69"/>
        <v>#N/A</v>
      </c>
      <c r="N19" s="17"/>
      <c r="O19" s="68">
        <v>41</v>
      </c>
      <c r="P19" s="69" cm="1">
        <f t="array" aca="1" ref="P19" ca="1">INDIRECT("P"&amp;ROW(O19)-1)+(O19-INDIRECT("O"&amp;ROW(O19)-1))*10/25.4</f>
        <v>0.22285039370078741</v>
      </c>
      <c r="Q19" s="69">
        <f t="shared" ca="1" si="50"/>
        <v>1.8570866141732284E-2</v>
      </c>
      <c r="R19" s="18"/>
      <c r="S19" s="95">
        <f>offset+1.73</f>
        <v>7.68</v>
      </c>
      <c r="T19" s="65"/>
      <c r="U19" s="70">
        <f t="shared" ca="1" si="17"/>
        <v>-3.2252473691989576</v>
      </c>
      <c r="V19" s="70"/>
      <c r="W19" s="70"/>
      <c r="X19" s="67">
        <f t="shared" si="65"/>
        <v>3</v>
      </c>
      <c r="Y19" s="66">
        <f t="shared" si="51"/>
        <v>3.2</v>
      </c>
      <c r="Z19" s="70">
        <v>0</v>
      </c>
      <c r="AA19" s="6">
        <f t="shared" si="44"/>
        <v>3.1352952387243702</v>
      </c>
      <c r="AB19" s="66">
        <f t="shared" ca="1" si="45"/>
        <v>4.3900478695254126</v>
      </c>
      <c r="AC19" s="71">
        <v>0.97641702112888917</v>
      </c>
      <c r="AD19" s="66">
        <f t="shared" ca="1" si="52"/>
        <v>16.410072423211833</v>
      </c>
      <c r="AE19" s="66">
        <f t="shared" ca="1" si="53"/>
        <v>4.3900478695254126</v>
      </c>
      <c r="AF19" s="70">
        <f t="shared" ca="1" si="54"/>
        <v>16.806417819549324</v>
      </c>
      <c r="AG19" s="70">
        <f t="shared" ref="AG19:AH20" ca="1" si="70">AG18</f>
        <v>27.014246742110654</v>
      </c>
      <c r="AH19" s="69">
        <f t="shared" ca="1" si="70"/>
        <v>0.11862804368096642</v>
      </c>
      <c r="AI19">
        <f t="shared" ca="1" si="55"/>
        <v>8.2565481017297049E-2</v>
      </c>
      <c r="AJ19">
        <f t="shared" ca="1" si="56"/>
        <v>0.99078577220756459</v>
      </c>
      <c r="AK19" s="18"/>
      <c r="AL19" s="18"/>
      <c r="AR19" s="11">
        <f t="shared" ca="1" si="67"/>
        <v>5.015764258726894</v>
      </c>
      <c r="AS19">
        <v>0</v>
      </c>
      <c r="AT19">
        <f ca="1">AT16</f>
        <v>0</v>
      </c>
      <c r="AU19" s="11">
        <f t="shared" ca="1" si="21"/>
        <v>0</v>
      </c>
      <c r="AV19" s="11">
        <f t="shared" ca="1" si="57"/>
        <v>16.835569351676515</v>
      </c>
      <c r="AW19" s="7"/>
      <c r="AX19" s="7"/>
      <c r="AZ19" s="18"/>
      <c r="BI19" s="7">
        <f t="shared" ca="1" si="62"/>
        <v>8.2565481017297049E-2</v>
      </c>
      <c r="BJ19" s="7">
        <f ca="1">IF('Depth profiles'!Q19=0,NA(),'Depth profiles'!Q19)/BI19</f>
        <v>0.22492288439331906</v>
      </c>
      <c r="BK19" s="7">
        <f ca="1">IF(ISBLANK('Depth profiles'!AM19),BK18,'Depth profiles'!AM19)</f>
        <v>17.964249842575903</v>
      </c>
      <c r="BL19" s="7">
        <f ca="1">IF('Depth profiles'!AF19=0,NA(),'Depth profiles'!AF19)/'Depth profiles'!BK19</f>
        <v>0.93554798930248251</v>
      </c>
      <c r="BM19" s="7">
        <f t="shared" ca="1" si="46"/>
        <v>0.82913052337546567</v>
      </c>
      <c r="BN19" s="7">
        <f t="shared" ca="1" si="47"/>
        <v>5.2230599138598101E-2</v>
      </c>
      <c r="BO19" s="7">
        <f t="shared" ca="1" si="48"/>
        <v>0</v>
      </c>
      <c r="BP19" s="7"/>
      <c r="BQ19" s="7"/>
      <c r="BR19" s="7"/>
      <c r="BS19" s="95"/>
      <c r="BT19" s="70"/>
      <c r="BU19" s="95"/>
      <c r="BW19" s="66"/>
      <c r="BX19" s="66"/>
      <c r="BY19" s="66"/>
      <c r="BZ19" s="66"/>
      <c r="CA19" s="66"/>
      <c r="CB19" s="68"/>
      <c r="CC19" s="66"/>
      <c r="CD19" s="70"/>
      <c r="CE19" s="70"/>
      <c r="CF19" s="96"/>
      <c r="CG19" s="70"/>
      <c r="CH19" s="70"/>
      <c r="CI19" s="11"/>
      <c r="CJ19" s="70"/>
      <c r="CK19" s="70"/>
      <c r="CR19" t="s">
        <v>183</v>
      </c>
      <c r="CS19" s="68">
        <v>0</v>
      </c>
      <c r="CT19" s="68">
        <v>0</v>
      </c>
      <c r="CZ19" s="46"/>
      <c r="DA19" s="46"/>
    </row>
    <row r="20" spans="1:109">
      <c r="B20" s="80">
        <f t="shared" si="68"/>
        <v>45055</v>
      </c>
      <c r="C20" s="81">
        <f t="shared" si="68"/>
        <v>0.45833333333333331</v>
      </c>
      <c r="D20" s="4">
        <v>1.0200000000000001E-2</v>
      </c>
      <c r="E20" s="4" t="s">
        <v>185</v>
      </c>
      <c r="F20" s="82" t="str">
        <f t="shared" si="69"/>
        <v>NE 6"</v>
      </c>
      <c r="G20" s="4">
        <f t="shared" si="69"/>
        <v>8.1960000000000005E-2</v>
      </c>
      <c r="H20" s="4">
        <f t="shared" si="69"/>
        <v>1310</v>
      </c>
      <c r="I20" s="83">
        <f t="shared" si="69"/>
        <v>2.9664538587343645</v>
      </c>
      <c r="J20" s="4">
        <f t="shared" si="69"/>
        <v>0</v>
      </c>
      <c r="K20" s="4">
        <f t="shared" si="69"/>
        <v>3</v>
      </c>
      <c r="L20" s="84" t="e">
        <f t="shared" si="69"/>
        <v>#N/A</v>
      </c>
      <c r="M20" s="4"/>
      <c r="N20" s="85"/>
      <c r="O20" s="86">
        <v>42</v>
      </c>
      <c r="P20" s="87" cm="1">
        <f t="array" aca="1" ref="P20" ca="1">INDIRECT("P"&amp;ROW(O20)-1)+(O20-INDIRECT("O"&amp;ROW(O20)-1))*10/25.4</f>
        <v>0.61655118110236229</v>
      </c>
      <c r="Q20" s="87">
        <f t="shared" ref="Q20:Q24" ca="1" si="71">P20/12</f>
        <v>5.1379265091863524E-2</v>
      </c>
      <c r="R20" s="88"/>
      <c r="S20" s="97">
        <f>offset+2.935</f>
        <v>8.8849999999999998</v>
      </c>
      <c r="T20" s="89"/>
      <c r="U20" s="90">
        <f t="shared" ca="1" si="17"/>
        <v>-3.2252473691989576</v>
      </c>
      <c r="V20" s="90"/>
      <c r="W20" s="90"/>
      <c r="X20" s="84">
        <f t="shared" si="65"/>
        <v>3</v>
      </c>
      <c r="Y20" s="83">
        <f t="shared" ref="Y20:Y24" si="72">$G$4+R20+SIN(theta)*(X20-K20/COS(RADIANS(CT20))/COS(RADIANS(CS20)))/12</f>
        <v>3.2</v>
      </c>
      <c r="Z20" s="90">
        <v>0</v>
      </c>
      <c r="AA20" s="91">
        <f t="shared" ref="AA20:AA24" si="73">$G$4-((Z20+K20/COS(RADIANS(CS20))/COS(RADIANS(CT20)))/12)*SIN(theta)</f>
        <v>3.1352952387243702</v>
      </c>
      <c r="AB20" s="83">
        <f t="shared" ref="AB20:AB24" ca="1" si="74">S20-D20-(Y20+AI20*COS(theta))</f>
        <v>5.5950478695254127</v>
      </c>
      <c r="AC20" s="92">
        <v>0.97641702112888917</v>
      </c>
      <c r="AD20" s="83">
        <f t="shared" ref="AD20:AD24" ca="1" si="75">SQRT(2*32.17*AB20)*AC20*$AD$2</f>
        <v>18.525834206807364</v>
      </c>
      <c r="AE20" s="83">
        <f t="shared" ref="AE20:AE24" ca="1" si="76">AB20*$AD$2^2</f>
        <v>5.5950478695254127</v>
      </c>
      <c r="AF20" s="90">
        <f t="shared" ref="AF20:AF24" ca="1" si="77">SQRT(2*32.17*AE20)</f>
        <v>18.973280684300885</v>
      </c>
      <c r="AG20" s="90">
        <f t="shared" ca="1" si="70"/>
        <v>27.014246742110654</v>
      </c>
      <c r="AH20" s="87">
        <f t="shared" ca="1" si="70"/>
        <v>0.11862804368096642</v>
      </c>
      <c r="AI20" s="4">
        <f t="shared" ref="AI20:AI24" ca="1" si="78">((I20/2)*(1+AH20)/AG20)^(1/(1+AH20))</f>
        <v>8.2565481017297049E-2</v>
      </c>
      <c r="AJ20" s="4">
        <f t="shared" ref="AJ20:AJ24" ca="1" si="79">AI20*12</f>
        <v>0.99078577220756459</v>
      </c>
      <c r="AK20" s="88"/>
      <c r="AL20" s="88"/>
      <c r="AM20" s="4"/>
      <c r="AN20" s="4"/>
      <c r="AO20" s="4"/>
      <c r="AP20" s="4"/>
      <c r="AQ20" s="4"/>
      <c r="AR20" s="93">
        <f t="shared" ca="1" si="67"/>
        <v>5.015764258726894</v>
      </c>
      <c r="AS20" s="93">
        <v>0</v>
      </c>
      <c r="AT20" s="93">
        <f ca="1">AT17</f>
        <v>17.964249842575903</v>
      </c>
      <c r="AU20" s="93">
        <f t="shared" ca="1" si="21"/>
        <v>0</v>
      </c>
      <c r="AV20" s="93">
        <f t="shared" ref="AV20:AV24" ca="1" si="80">AG20*Q20^AH20</f>
        <v>18.995737153374208</v>
      </c>
      <c r="AW20" s="94"/>
      <c r="AX20" s="94"/>
      <c r="AY20" s="4"/>
      <c r="AZ20" s="88"/>
      <c r="BA20" s="4"/>
      <c r="BB20" s="4"/>
      <c r="BC20" s="4"/>
      <c r="BD20" s="4"/>
      <c r="BE20" s="4"/>
      <c r="BF20" s="4"/>
      <c r="BG20" s="4"/>
      <c r="BH20" s="4"/>
      <c r="BI20" s="94">
        <f t="shared" ref="BI20" ca="1" si="81">IF(ISBLANK(AI20),BI19,AI20)</f>
        <v>8.2565481017297049E-2</v>
      </c>
      <c r="BJ20" s="94">
        <f ca="1">IF('Depth profiles'!Q20=0,NA(),'Depth profiles'!Q20)/BI20</f>
        <v>0.62228505737282425</v>
      </c>
      <c r="BK20" s="94">
        <f ca="1">IF(ISBLANK('Depth profiles'!AM20),BK19,'Depth profiles'!AM20)</f>
        <v>17.964249842575903</v>
      </c>
      <c r="BL20" s="94">
        <f ca="1">IF('Depth profiles'!AF20=0,NA(),'Depth profiles'!AF20)/'Depth profiles'!BK20</f>
        <v>1.056168827007379</v>
      </c>
      <c r="BM20" s="94">
        <f t="shared" ref="BM20:BM24" ca="1" si="82">SQRT(32.17*BI20*SIN(theta))</f>
        <v>0.82913052337546567</v>
      </c>
      <c r="BN20" s="94">
        <f t="shared" ref="BN20:BN24" ca="1" si="83">25.4*12*11.84*viscosity/BM20</f>
        <v>5.2230599138598101E-2</v>
      </c>
      <c r="BO20" s="94">
        <f t="shared" ref="BO20:BO24" ca="1" si="84">(J20/12)*BM20/viscosity</f>
        <v>0</v>
      </c>
      <c r="BP20" s="94"/>
      <c r="BQ20" s="94"/>
      <c r="BR20" s="94"/>
      <c r="BS20" s="97"/>
      <c r="BT20" s="90"/>
      <c r="BU20" s="97"/>
      <c r="BV20" s="4"/>
      <c r="BW20" s="83"/>
      <c r="BX20" s="83"/>
      <c r="BY20" s="83"/>
      <c r="BZ20" s="83"/>
      <c r="CA20" s="83"/>
      <c r="CB20" s="86"/>
      <c r="CC20" s="83"/>
      <c r="CD20" s="90"/>
      <c r="CE20" s="90"/>
      <c r="CF20" s="98"/>
      <c r="CG20" s="90"/>
      <c r="CH20" s="90"/>
      <c r="CI20" s="93"/>
      <c r="CJ20" s="90"/>
      <c r="CK20" s="90"/>
      <c r="CL20" s="4"/>
      <c r="CM20" s="4"/>
      <c r="CN20" s="4"/>
      <c r="CO20" s="4"/>
      <c r="CP20" s="4"/>
      <c r="CQ20" s="4"/>
      <c r="CR20" s="4" t="s">
        <v>183</v>
      </c>
      <c r="CS20" s="86">
        <v>0</v>
      </c>
      <c r="CT20" s="86">
        <v>0</v>
      </c>
      <c r="CZ20" s="46"/>
      <c r="DA20" s="46"/>
    </row>
    <row r="21" spans="1:109">
      <c r="A21" s="1" t="s">
        <v>186</v>
      </c>
      <c r="B21" s="63">
        <v>45055</v>
      </c>
      <c r="C21" s="64">
        <v>0.62847222222222221</v>
      </c>
      <c r="D21">
        <v>1.0200000000000001E-2</v>
      </c>
      <c r="E21" t="s">
        <v>185</v>
      </c>
      <c r="F21" s="1" t="s">
        <v>194</v>
      </c>
      <c r="G21">
        <v>0.70040999999999998</v>
      </c>
      <c r="H21" s="68">
        <v>336.92</v>
      </c>
      <c r="I21" s="66">
        <f t="shared" ref="I21" si="85">G21*H21^0.5*1</f>
        <v>12.856292183839475</v>
      </c>
      <c r="J21">
        <v>0</v>
      </c>
      <c r="K21">
        <v>3</v>
      </c>
      <c r="L21" s="67" t="e">
        <f>NA()</f>
        <v>#N/A</v>
      </c>
      <c r="M21">
        <f>O21-(P21-0.052/2)*2.54</f>
        <v>40.590000000000003</v>
      </c>
      <c r="N21" s="100" cm="1">
        <f t="array" aca="1" ref="N21" ca="1">CORREL(LOG(AD21:AD25),LOG(P21:P25))</f>
        <v>0.99944176183096434</v>
      </c>
      <c r="O21" s="68">
        <v>40.590000000000003</v>
      </c>
      <c r="P21" s="6">
        <f>0.052/2+0</f>
        <v>2.5999999999999999E-2</v>
      </c>
      <c r="Q21" s="69">
        <f t="shared" si="71"/>
        <v>2.1666666666666666E-3</v>
      </c>
      <c r="R21" s="18"/>
      <c r="S21" s="95">
        <f>offset+1.64</f>
        <v>7.59</v>
      </c>
      <c r="T21" s="95">
        <v>0</v>
      </c>
      <c r="U21" s="70">
        <f ca="1">T21-AA21-D21-AI21*COS(theta)</f>
        <v>-3.3959111411939906</v>
      </c>
      <c r="V21" s="70"/>
      <c r="W21" s="70"/>
      <c r="X21" s="67">
        <v>3</v>
      </c>
      <c r="Y21" s="66">
        <f t="shared" si="72"/>
        <v>3.2</v>
      </c>
      <c r="Z21" s="70">
        <v>0</v>
      </c>
      <c r="AA21" s="6">
        <f t="shared" si="73"/>
        <v>3.1352952387243702</v>
      </c>
      <c r="AB21" s="66">
        <f t="shared" ca="1" si="74"/>
        <v>4.1293840975303793</v>
      </c>
      <c r="AC21" s="71">
        <v>0.97641702112888917</v>
      </c>
      <c r="AD21" s="66">
        <f t="shared" ca="1" si="75"/>
        <v>15.915434892154215</v>
      </c>
      <c r="AE21" s="66">
        <f t="shared" ca="1" si="76"/>
        <v>4.1293840975303793</v>
      </c>
      <c r="AF21" s="70">
        <f t="shared" ca="1" si="77"/>
        <v>16.299833521699068</v>
      </c>
      <c r="AG21" s="72" cm="1">
        <f t="array" aca="1" ref="AG21" ca="1">IFERROR(10^INTERCEPT(LOG(AF21:AF25),LOG(Q21:Q25)),30)</f>
        <v>31.746017140348766</v>
      </c>
      <c r="AH21" s="73" cm="1">
        <f t="array" aca="1" ref="AH21" ca="1">IFERROR(SLOPE(LOG(AF21:AF25),LOG(Q21:Q25)),0.1)</f>
        <v>0.10745155362285756</v>
      </c>
      <c r="AI21" s="11">
        <f t="shared" ca="1" si="78"/>
        <v>0.25924961902269206</v>
      </c>
      <c r="AJ21" s="11">
        <f t="shared" ca="1" si="79"/>
        <v>3.1109954282723047</v>
      </c>
      <c r="AK21" s="70" t="e">
        <f ca="1">AJ21/J21</f>
        <v>#DIV/0!</v>
      </c>
      <c r="AL21" s="70">
        <f ca="1">K21/AJ21</f>
        <v>0.96432157139686114</v>
      </c>
      <c r="AM21" s="11">
        <f ca="1">I21/2/AI21</f>
        <v>24.795199762114532</v>
      </c>
      <c r="AN21" s="70">
        <f ca="1">AM21/SQRT(32.17*AI21*COS(theta))</f>
        <v>8.7359698921499565</v>
      </c>
      <c r="AO21" s="70" t="e">
        <f>I21/2/SQRT(32.17*COS(theta)*(J21/12)^3)</f>
        <v>#DIV/0!</v>
      </c>
      <c r="AP21" s="70" t="e">
        <f ca="1">AM21/SQRT(32.17*COS(theta)*(J21/12))</f>
        <v>#DIV/0!</v>
      </c>
      <c r="AQ21" s="99" t="e">
        <f ca="1">SQRT(2*32.17*U21)/SQRT(32.17*COS(theta)*(K21/12))</f>
        <v>#NUM!</v>
      </c>
      <c r="AR21" s="11">
        <f ca="1">AM21^2/2/32.17</f>
        <v>9.5555164942984838</v>
      </c>
      <c r="AS21" s="11">
        <f>J21/12</f>
        <v>0</v>
      </c>
      <c r="AT21" s="11">
        <f ca="1">AG21*(J21*$AT$5/12)^(AH21)</f>
        <v>0</v>
      </c>
      <c r="AU21" s="11">
        <f ca="1">AT21^2/2/32.17</f>
        <v>0</v>
      </c>
      <c r="AV21" s="11">
        <f t="shared" ca="1" si="80"/>
        <v>16.421618878506244</v>
      </c>
      <c r="AW21" s="7">
        <f ca="1">J21/(AJ21-J21)</f>
        <v>0</v>
      </c>
      <c r="AX21" s="74">
        <f ca="1">K21/(AJ21-J21)</f>
        <v>0.96432157139686114</v>
      </c>
      <c r="AY21" s="75">
        <f ca="1">U21/AR21</f>
        <v>-0.35538750241499117</v>
      </c>
      <c r="AZ21" s="6" t="e">
        <f>K21/J21</f>
        <v>#DIV/0!</v>
      </c>
      <c r="BA21" s="10" t="e">
        <f ca="1">(SQRT(2*32.17*U21)/AG21)^(1/AH21)/(J21/12)</f>
        <v>#NUM!</v>
      </c>
      <c r="BB21" s="10" t="e">
        <f ca="1">(SQRT(2*32.17*U21)/AG21)^(1/AH21)/AI21</f>
        <v>#NUM!</v>
      </c>
      <c r="BC21" s="75" t="e">
        <f ca="1">(AY21-(1+$BB$60)*(0.8223*#REF!+0.5707+1)^-1)^2</f>
        <v>#REF!</v>
      </c>
      <c r="BD21" s="76" t="e">
        <f ca="1">304.8*(SQRT(2*32.17*U21)/AG21)^(1/AH21)</f>
        <v>#NUM!</v>
      </c>
      <c r="BE21" s="77" t="e">
        <f ca="1">AG21*(J21*$BE$5/12)^(AH21)*(AND($BE$5&gt;0,$BE$5&lt;&gt;2))+AM21*($BE$5=0)+SQRT(2*32.17*U21)*($BE$5=2)</f>
        <v>#NUM!</v>
      </c>
      <c r="BF21" s="78" t="e">
        <f ca="1">BE21*4*AI21/viscosity</f>
        <v>#NUM!</v>
      </c>
      <c r="BG21" s="78" t="e">
        <f ca="1">BE21*J21/12/viscosity</f>
        <v>#NUM!</v>
      </c>
      <c r="BH21" s="77">
        <f ca="1">IFERROR((2*LOG10(2/($BH$5/AI21))+1.74-2*LOG10(1+18.7*2/($BH$5/AI21)/(BF21*BH21^0.5)))^-2,0.02)</f>
        <v>0.02</v>
      </c>
      <c r="BI21" s="74">
        <f ca="1">IF(ISBLANK(AI21),#REF!,AI21)</f>
        <v>0.25924961902269206</v>
      </c>
      <c r="BJ21" s="74">
        <f ca="1">IF('Depth profiles'!Q21=0,NA(),'Depth profiles'!Q21)/BI21</f>
        <v>8.357453618772796E-3</v>
      </c>
      <c r="BK21" s="74">
        <f ca="1">IF(ISBLANK('Depth profiles'!AM21),BK680,'Depth profiles'!AM21)</f>
        <v>24.795199762114532</v>
      </c>
      <c r="BL21" s="74">
        <f ca="1">IF('Depth profiles'!AF21=0,NA(),'Depth profiles'!AF21)/'Depth profiles'!BK21</f>
        <v>0.6573785925533927</v>
      </c>
      <c r="BM21" s="74">
        <f t="shared" ca="1" si="82"/>
        <v>1.4692060537716363</v>
      </c>
      <c r="BN21" s="74">
        <f t="shared" ca="1" si="83"/>
        <v>2.9475772910701054E-2</v>
      </c>
      <c r="BO21" s="74">
        <f t="shared" ca="1" si="84"/>
        <v>0</v>
      </c>
      <c r="BP21" s="74">
        <f ca="1">(1+AH21)^3/(1+3*AH21)</f>
        <v>1.0271320003975364</v>
      </c>
      <c r="BQ21" s="74" t="e">
        <f ca="1">($BQ$7/AK21)^(3*AH21)*(1+AH21)^3/(1+3*AH21)</f>
        <v>#DIV/0!</v>
      </c>
      <c r="BR21" s="74" t="e">
        <f ca="1">(U21/(BQ21*AR21))*(1+$BR$3*AZ21)</f>
        <v>#DIV/0!</v>
      </c>
      <c r="BS21" s="95"/>
      <c r="BT21" s="70"/>
      <c r="BU21" s="95"/>
      <c r="BW21" s="66"/>
      <c r="BX21" s="66"/>
      <c r="BY21" s="66"/>
      <c r="BZ21" s="66"/>
      <c r="CA21" s="66"/>
      <c r="CB21" s="68"/>
      <c r="CC21" s="66"/>
      <c r="CD21" s="70"/>
      <c r="CE21" s="70"/>
      <c r="CF21" s="96"/>
      <c r="CG21" s="70"/>
      <c r="CH21" s="70"/>
      <c r="CI21" s="11"/>
      <c r="CJ21" s="70"/>
      <c r="CK21" s="70"/>
      <c r="CR21" t="s">
        <v>183</v>
      </c>
      <c r="CS21" s="68">
        <v>0</v>
      </c>
      <c r="CT21" s="68">
        <v>0</v>
      </c>
      <c r="DA21" s="46"/>
      <c r="DD21" s="18"/>
      <c r="DE21" s="18"/>
    </row>
    <row r="22" spans="1:109">
      <c r="B22" s="63">
        <f t="shared" ref="B22:C22" si="86">B21</f>
        <v>45055</v>
      </c>
      <c r="C22" s="64">
        <f t="shared" si="86"/>
        <v>0.62847222222222221</v>
      </c>
      <c r="D22">
        <v>1.0200000000000001E-2</v>
      </c>
      <c r="E22" t="s">
        <v>185</v>
      </c>
      <c r="F22" s="1" t="str">
        <f t="shared" ref="F22:H22" si="87">F21</f>
        <v>NE 14"</v>
      </c>
      <c r="G22">
        <f t="shared" si="87"/>
        <v>0.70040999999999998</v>
      </c>
      <c r="H22">
        <f t="shared" si="87"/>
        <v>336.92</v>
      </c>
      <c r="I22" s="66">
        <f>I21</f>
        <v>12.856292183839475</v>
      </c>
      <c r="J22">
        <f t="shared" ref="J22:L22" si="88">J21</f>
        <v>0</v>
      </c>
      <c r="K22">
        <f t="shared" si="88"/>
        <v>3</v>
      </c>
      <c r="L22" s="67" t="e">
        <f t="shared" si="88"/>
        <v>#N/A</v>
      </c>
      <c r="N22" s="17"/>
      <c r="O22" s="68">
        <v>40.700000000000003</v>
      </c>
      <c r="P22" s="79" cm="1">
        <f t="array" aca="1" ref="P22" ca="1">INDIRECT("P"&amp;ROW(O22)-1)+(O22-INDIRECT("O"&amp;ROW(O22)-1))*10/25.4</f>
        <v>6.9307086614173008E-2</v>
      </c>
      <c r="Q22" s="69">
        <f t="shared" ca="1" si="71"/>
        <v>5.775590551181084E-3</v>
      </c>
      <c r="R22" s="18"/>
      <c r="S22" s="95">
        <f>offset+2.72</f>
        <v>8.67</v>
      </c>
      <c r="T22" s="65"/>
      <c r="U22" s="70">
        <f t="shared" ca="1" si="17"/>
        <v>-3.3959111411939906</v>
      </c>
      <c r="V22" s="70"/>
      <c r="W22" s="70"/>
      <c r="X22" s="67">
        <f>X21</f>
        <v>3</v>
      </c>
      <c r="Y22" s="66">
        <f t="shared" si="72"/>
        <v>3.2</v>
      </c>
      <c r="Z22" s="70">
        <v>0</v>
      </c>
      <c r="AA22" s="6">
        <f t="shared" si="73"/>
        <v>3.1352952387243702</v>
      </c>
      <c r="AB22" s="66">
        <f t="shared" ca="1" si="74"/>
        <v>5.2093840975303802</v>
      </c>
      <c r="AC22" s="71">
        <v>0.97641702112888917</v>
      </c>
      <c r="AD22" s="66">
        <f t="shared" ca="1" si="75"/>
        <v>17.875947058905457</v>
      </c>
      <c r="AE22" s="66">
        <f t="shared" ca="1" si="76"/>
        <v>5.2093840975303802</v>
      </c>
      <c r="AF22" s="70">
        <f t="shared" ca="1" si="77"/>
        <v>18.307697092619396</v>
      </c>
      <c r="AG22" s="70">
        <f t="shared" ref="AG22:AH22" ca="1" si="89">AG21</f>
        <v>31.746017140348766</v>
      </c>
      <c r="AH22" s="69">
        <f t="shared" ca="1" si="89"/>
        <v>0.10745155362285756</v>
      </c>
      <c r="AI22">
        <f t="shared" ca="1" si="78"/>
        <v>0.25924961902269206</v>
      </c>
      <c r="AJ22">
        <f t="shared" ca="1" si="79"/>
        <v>3.1109954282723047</v>
      </c>
      <c r="AK22" s="18"/>
      <c r="AL22" s="18"/>
      <c r="AR22" s="11">
        <f ca="1">AR21</f>
        <v>9.5555164942984838</v>
      </c>
      <c r="AS22">
        <f>AS21</f>
        <v>0</v>
      </c>
      <c r="AT22">
        <f ca="1">AM21</f>
        <v>24.795199762114532</v>
      </c>
      <c r="AU22" s="11">
        <f t="shared" ca="1" si="21"/>
        <v>0</v>
      </c>
      <c r="AV22" s="11">
        <f t="shared" ca="1" si="80"/>
        <v>18.24606852829719</v>
      </c>
      <c r="AW22" s="7"/>
      <c r="AX22" s="7"/>
      <c r="AZ22" s="18"/>
      <c r="BI22" s="7">
        <f t="shared" ref="BI22:BI25" ca="1" si="90">IF(ISBLANK(AI22),BI21,AI22)</f>
        <v>0.25924961902269206</v>
      </c>
      <c r="BJ22" s="7">
        <f ca="1">IF('Depth profiles'!Q22=0,NA(),'Depth profiles'!Q22)/BI22</f>
        <v>2.2278106224239227E-2</v>
      </c>
      <c r="BK22" s="7">
        <f ca="1">IF(ISBLANK('Depth profiles'!AM22),BK21,'Depth profiles'!AM22)</f>
        <v>24.795199762114532</v>
      </c>
      <c r="BL22" s="7">
        <f ca="1">IF('Depth profiles'!AF22=0,NA(),'Depth profiles'!AF22)/'Depth profiles'!BK22</f>
        <v>0.73835650723783952</v>
      </c>
      <c r="BM22" s="7">
        <f t="shared" ca="1" si="82"/>
        <v>1.4692060537716363</v>
      </c>
      <c r="BN22" s="7">
        <f t="shared" ca="1" si="83"/>
        <v>2.9475772910701054E-2</v>
      </c>
      <c r="BO22" s="7">
        <f t="shared" ca="1" si="84"/>
        <v>0</v>
      </c>
      <c r="BP22" s="7"/>
      <c r="BQ22" s="7"/>
      <c r="BR22" s="7"/>
      <c r="BS22" s="95"/>
      <c r="BT22" s="70"/>
      <c r="BU22" s="95"/>
      <c r="BW22" s="66"/>
      <c r="BX22" s="66"/>
      <c r="BY22" s="66"/>
      <c r="BZ22" s="66"/>
      <c r="CA22" s="66"/>
      <c r="CB22" s="68"/>
      <c r="CC22" s="66"/>
      <c r="CD22" s="70"/>
      <c r="CE22" s="70"/>
      <c r="CF22" s="96"/>
      <c r="CG22" s="70"/>
      <c r="CH22" s="70"/>
      <c r="CI22" s="11"/>
      <c r="CJ22" s="70"/>
      <c r="CK22" s="70"/>
      <c r="CR22" t="s">
        <v>183</v>
      </c>
      <c r="CS22" s="68">
        <v>0</v>
      </c>
      <c r="CT22" s="68">
        <v>0</v>
      </c>
      <c r="CZ22" s="46"/>
      <c r="DA22" s="46"/>
    </row>
    <row r="23" spans="1:109">
      <c r="B23" s="63">
        <f t="shared" ref="B23:C23" si="91">B22</f>
        <v>45055</v>
      </c>
      <c r="C23" s="64">
        <f t="shared" si="91"/>
        <v>0.62847222222222221</v>
      </c>
      <c r="D23">
        <v>1.0200000000000001E-2</v>
      </c>
      <c r="E23" t="s">
        <v>185</v>
      </c>
      <c r="F23" s="1" t="str">
        <f t="shared" ref="F23:L23" si="92">F22</f>
        <v>NE 14"</v>
      </c>
      <c r="G23">
        <f t="shared" si="92"/>
        <v>0.70040999999999998</v>
      </c>
      <c r="H23">
        <f t="shared" si="92"/>
        <v>336.92</v>
      </c>
      <c r="I23" s="66">
        <f t="shared" si="92"/>
        <v>12.856292183839475</v>
      </c>
      <c r="J23">
        <f t="shared" si="92"/>
        <v>0</v>
      </c>
      <c r="K23">
        <f t="shared" si="92"/>
        <v>3</v>
      </c>
      <c r="L23" s="67" t="e">
        <f t="shared" si="92"/>
        <v>#N/A</v>
      </c>
      <c r="N23" s="17"/>
      <c r="O23" s="68">
        <v>41</v>
      </c>
      <c r="P23" s="69" cm="1">
        <f t="array" aca="1" ref="P23" ca="1">INDIRECT("P"&amp;ROW(O23)-1)+(O23-INDIRECT("O"&amp;ROW(O23)-1))*10/25.4</f>
        <v>0.18741732283464435</v>
      </c>
      <c r="Q23" s="69">
        <f t="shared" ca="1" si="71"/>
        <v>1.5618110236220362E-2</v>
      </c>
      <c r="R23" s="18"/>
      <c r="S23" s="95">
        <f>offset+4.03</f>
        <v>9.98</v>
      </c>
      <c r="T23" s="65"/>
      <c r="U23" s="70">
        <f t="shared" ca="1" si="17"/>
        <v>-3.3959111411939906</v>
      </c>
      <c r="V23" s="70"/>
      <c r="W23" s="70"/>
      <c r="X23" s="67">
        <f t="shared" ref="X23:X25" si="93">X22</f>
        <v>3</v>
      </c>
      <c r="Y23" s="66">
        <f t="shared" si="72"/>
        <v>3.2</v>
      </c>
      <c r="Z23" s="70">
        <v>0</v>
      </c>
      <c r="AA23" s="6">
        <f t="shared" si="73"/>
        <v>3.1352952387243702</v>
      </c>
      <c r="AB23" s="66">
        <f t="shared" ca="1" si="74"/>
        <v>6.5193840975303807</v>
      </c>
      <c r="AC23" s="71">
        <v>0.97641702112888917</v>
      </c>
      <c r="AD23" s="66">
        <f t="shared" ca="1" si="75"/>
        <v>19.997658801575898</v>
      </c>
      <c r="AE23" s="66">
        <f t="shared" ca="1" si="76"/>
        <v>6.5193840975303807</v>
      </c>
      <c r="AF23" s="70">
        <f t="shared" ca="1" si="77"/>
        <v>20.480653623239292</v>
      </c>
      <c r="AG23" s="70">
        <f t="shared" ref="AG23:AH23" ca="1" si="94">AG22</f>
        <v>31.746017140348766</v>
      </c>
      <c r="AH23" s="69">
        <f t="shared" ca="1" si="94"/>
        <v>0.10745155362285756</v>
      </c>
      <c r="AI23">
        <f t="shared" ca="1" si="78"/>
        <v>0.25924961902269206</v>
      </c>
      <c r="AJ23">
        <f t="shared" ca="1" si="79"/>
        <v>3.1109954282723047</v>
      </c>
      <c r="AK23" s="18"/>
      <c r="AL23" s="18"/>
      <c r="AR23" s="11">
        <f t="shared" ref="AR23:AR25" ca="1" si="95">AR22</f>
        <v>9.5555164942984838</v>
      </c>
      <c r="AS23">
        <f>AS21</f>
        <v>0</v>
      </c>
      <c r="AT23">
        <f ca="1">AT21</f>
        <v>0</v>
      </c>
      <c r="AU23" s="11">
        <f t="shared" ca="1" si="21"/>
        <v>0</v>
      </c>
      <c r="AV23" s="11">
        <f t="shared" ca="1" si="80"/>
        <v>20.304477612444131</v>
      </c>
      <c r="AW23" s="7"/>
      <c r="AX23" s="7"/>
      <c r="AZ23" s="18"/>
      <c r="BI23" s="7">
        <f t="shared" ca="1" si="90"/>
        <v>0.25924961902269206</v>
      </c>
      <c r="BJ23" s="7">
        <f ca="1">IF('Depth profiles'!Q23=0,NA(),'Depth profiles'!Q23)/BI23</f>
        <v>6.0243522420965687E-2</v>
      </c>
      <c r="BK23" s="7">
        <f ca="1">IF(ISBLANK('Depth profiles'!AM23),BK22,'Depth profiles'!AM23)</f>
        <v>24.795199762114532</v>
      </c>
      <c r="BL23" s="7">
        <f ca="1">IF('Depth profiles'!AF23=0,NA(),'Depth profiles'!AF23)/'Depth profiles'!BK23</f>
        <v>0.82599268486364086</v>
      </c>
      <c r="BM23" s="7">
        <f t="shared" ca="1" si="82"/>
        <v>1.4692060537716363</v>
      </c>
      <c r="BN23" s="7">
        <f t="shared" ca="1" si="83"/>
        <v>2.9475772910701054E-2</v>
      </c>
      <c r="BO23" s="7">
        <f t="shared" ca="1" si="84"/>
        <v>0</v>
      </c>
      <c r="BP23" s="7"/>
      <c r="BQ23" s="7"/>
      <c r="BR23" s="7"/>
      <c r="BS23" s="95"/>
      <c r="BT23" s="70"/>
      <c r="BU23" s="95"/>
      <c r="BW23" s="66"/>
      <c r="BX23" s="66"/>
      <c r="BY23" s="66"/>
      <c r="BZ23" s="66"/>
      <c r="CA23" s="66"/>
      <c r="CB23" s="68"/>
      <c r="CC23" s="66"/>
      <c r="CD23" s="70"/>
      <c r="CE23" s="70"/>
      <c r="CF23" s="96"/>
      <c r="CG23" s="70"/>
      <c r="CH23" s="70"/>
      <c r="CI23" s="11"/>
      <c r="CJ23" s="70"/>
      <c r="CK23" s="70"/>
      <c r="CR23" t="s">
        <v>183</v>
      </c>
      <c r="CS23" s="68">
        <v>0</v>
      </c>
      <c r="CT23" s="68">
        <v>0</v>
      </c>
      <c r="CZ23" s="46"/>
      <c r="DA23" s="46"/>
    </row>
    <row r="24" spans="1:109">
      <c r="B24" s="63">
        <f t="shared" ref="B24:C24" si="96">B23</f>
        <v>45055</v>
      </c>
      <c r="C24" s="64">
        <f t="shared" si="96"/>
        <v>0.62847222222222221</v>
      </c>
      <c r="D24">
        <v>1.0200000000000001E-2</v>
      </c>
      <c r="E24" t="s">
        <v>185</v>
      </c>
      <c r="F24" s="1" t="str">
        <f t="shared" ref="F24:L24" si="97">F23</f>
        <v>NE 14"</v>
      </c>
      <c r="G24">
        <f t="shared" si="97"/>
        <v>0.70040999999999998</v>
      </c>
      <c r="H24">
        <f t="shared" si="97"/>
        <v>336.92</v>
      </c>
      <c r="I24" s="66">
        <f t="shared" si="97"/>
        <v>12.856292183839475</v>
      </c>
      <c r="J24">
        <f t="shared" si="97"/>
        <v>0</v>
      </c>
      <c r="K24">
        <f t="shared" si="97"/>
        <v>3</v>
      </c>
      <c r="L24" s="67" t="e">
        <f t="shared" si="97"/>
        <v>#N/A</v>
      </c>
      <c r="N24" s="17"/>
      <c r="O24" s="68">
        <v>42</v>
      </c>
      <c r="P24" s="69" cm="1">
        <f t="array" aca="1" ref="P24" ca="1">INDIRECT("P"&amp;ROW(O24)-1)+(O24-INDIRECT("O"&amp;ROW(O24)-1))*10/25.4</f>
        <v>0.58111811023621918</v>
      </c>
      <c r="Q24" s="69">
        <f t="shared" ca="1" si="71"/>
        <v>4.84265091863516E-2</v>
      </c>
      <c r="R24" s="18"/>
      <c r="S24" s="95">
        <f>offset+5.68</f>
        <v>11.629999999999999</v>
      </c>
      <c r="T24" s="65"/>
      <c r="U24" s="70">
        <f t="shared" ca="1" si="17"/>
        <v>-3.3959111411939906</v>
      </c>
      <c r="V24" s="70"/>
      <c r="W24" s="70"/>
      <c r="X24" s="67">
        <f t="shared" si="93"/>
        <v>3</v>
      </c>
      <c r="Y24" s="66">
        <f t="shared" si="72"/>
        <v>3.2</v>
      </c>
      <c r="Z24" s="70">
        <v>0</v>
      </c>
      <c r="AA24" s="6">
        <f t="shared" si="73"/>
        <v>3.1352952387243702</v>
      </c>
      <c r="AB24" s="66">
        <f t="shared" ca="1" si="74"/>
        <v>8.1693840975303793</v>
      </c>
      <c r="AC24" s="71">
        <v>0.97641702112888917</v>
      </c>
      <c r="AD24" s="66">
        <f t="shared" ca="1" si="75"/>
        <v>22.385692182200483</v>
      </c>
      <c r="AE24" s="66">
        <f t="shared" ca="1" si="76"/>
        <v>8.1693840975303793</v>
      </c>
      <c r="AF24" s="70">
        <f t="shared" ca="1" si="77"/>
        <v>22.926364143385332</v>
      </c>
      <c r="AG24" s="70">
        <f t="shared" ref="AG24:AH24" ca="1" si="98">AG23</f>
        <v>31.746017140348766</v>
      </c>
      <c r="AH24" s="69">
        <f t="shared" ca="1" si="98"/>
        <v>0.10745155362285756</v>
      </c>
      <c r="AI24">
        <f t="shared" ca="1" si="78"/>
        <v>0.25924961902269206</v>
      </c>
      <c r="AJ24">
        <f t="shared" ca="1" si="79"/>
        <v>3.1109954282723047</v>
      </c>
      <c r="AK24" s="18"/>
      <c r="AL24" s="18"/>
      <c r="AR24" s="11">
        <f t="shared" ca="1" si="95"/>
        <v>9.5555164942984838</v>
      </c>
      <c r="AS24">
        <v>0</v>
      </c>
      <c r="AT24">
        <f ca="1">AT21</f>
        <v>0</v>
      </c>
      <c r="AU24" s="11">
        <f t="shared" ca="1" si="21"/>
        <v>0</v>
      </c>
      <c r="AV24" s="11">
        <f t="shared" ca="1" si="80"/>
        <v>22.929753685462668</v>
      </c>
      <c r="AW24" s="7"/>
      <c r="AX24" s="7"/>
      <c r="AZ24" s="18"/>
      <c r="BI24" s="7">
        <f t="shared" ca="1" si="90"/>
        <v>0.25924961902269206</v>
      </c>
      <c r="BJ24" s="7">
        <f ca="1">IF('Depth profiles'!Q24=0,NA(),'Depth profiles'!Q24)/BI24</f>
        <v>0.18679490974338844</v>
      </c>
      <c r="BK24" s="7">
        <f ca="1">IF(ISBLANK('Depth profiles'!AM24),BK23,'Depth profiles'!AM24)</f>
        <v>24.795199762114532</v>
      </c>
      <c r="BL24" s="7">
        <f ca="1">IF('Depth profiles'!AF24=0,NA(),'Depth profiles'!AF24)/'Depth profiles'!BK24</f>
        <v>0.92462913641919264</v>
      </c>
      <c r="BM24" s="7">
        <f t="shared" ca="1" si="82"/>
        <v>1.4692060537716363</v>
      </c>
      <c r="BN24" s="7">
        <f t="shared" ca="1" si="83"/>
        <v>2.9475772910701054E-2</v>
      </c>
      <c r="BO24" s="7">
        <f t="shared" ca="1" si="84"/>
        <v>0</v>
      </c>
      <c r="BP24" s="7"/>
      <c r="BQ24" s="7"/>
      <c r="BR24" s="7"/>
      <c r="BS24" s="95"/>
      <c r="BT24" s="70"/>
      <c r="BU24" s="95"/>
      <c r="BW24" s="66"/>
      <c r="BX24" s="66"/>
      <c r="BY24" s="66"/>
      <c r="BZ24" s="66"/>
      <c r="CA24" s="66"/>
      <c r="CB24" s="68"/>
      <c r="CC24" s="66"/>
      <c r="CD24" s="70"/>
      <c r="CE24" s="70"/>
      <c r="CF24" s="96"/>
      <c r="CG24" s="70"/>
      <c r="CH24" s="70"/>
      <c r="CI24" s="11"/>
      <c r="CJ24" s="70"/>
      <c r="CK24" s="70"/>
      <c r="CR24" t="s">
        <v>183</v>
      </c>
      <c r="CS24" s="68">
        <v>0</v>
      </c>
      <c r="CT24" s="68">
        <v>0</v>
      </c>
      <c r="CZ24" s="46"/>
      <c r="DA24" s="46"/>
    </row>
    <row r="25" spans="1:109">
      <c r="B25" s="80">
        <f t="shared" ref="B25:C25" si="99">B24</f>
        <v>45055</v>
      </c>
      <c r="C25" s="81">
        <f t="shared" si="99"/>
        <v>0.62847222222222221</v>
      </c>
      <c r="D25" s="4">
        <v>1.0200000000000001E-2</v>
      </c>
      <c r="E25" s="4" t="s">
        <v>185</v>
      </c>
      <c r="F25" s="82" t="str">
        <f t="shared" ref="F25:L25" si="100">F24</f>
        <v>NE 14"</v>
      </c>
      <c r="G25" s="4">
        <f t="shared" si="100"/>
        <v>0.70040999999999998</v>
      </c>
      <c r="H25" s="4">
        <f t="shared" si="100"/>
        <v>336.92</v>
      </c>
      <c r="I25" s="83">
        <f t="shared" si="100"/>
        <v>12.856292183839475</v>
      </c>
      <c r="J25" s="4">
        <f t="shared" si="100"/>
        <v>0</v>
      </c>
      <c r="K25" s="4">
        <f t="shared" si="100"/>
        <v>3</v>
      </c>
      <c r="L25" s="84" t="e">
        <f t="shared" si="100"/>
        <v>#N/A</v>
      </c>
      <c r="M25" s="4"/>
      <c r="N25" s="85"/>
      <c r="O25" s="86">
        <v>46.5</v>
      </c>
      <c r="P25" s="87" cm="1">
        <f t="array" aca="1" ref="P25" ca="1">INDIRECT("P"&amp;ROW(O25)-1)+(O25-INDIRECT("O"&amp;ROW(O25)-1))*10/25.4</f>
        <v>2.3527716535433059</v>
      </c>
      <c r="Q25" s="87">
        <f t="shared" ref="Q25:Q29" ca="1" si="101">P25/12</f>
        <v>0.19606430446194215</v>
      </c>
      <c r="R25" s="88"/>
      <c r="S25" s="97">
        <f>offset+8.45</f>
        <v>14.399999999999999</v>
      </c>
      <c r="T25" s="89"/>
      <c r="U25" s="90">
        <f t="shared" ca="1" si="17"/>
        <v>-3.3959111411939906</v>
      </c>
      <c r="V25" s="90"/>
      <c r="W25" s="90"/>
      <c r="X25" s="84">
        <f t="shared" si="93"/>
        <v>3</v>
      </c>
      <c r="Y25" s="83">
        <f t="shared" ref="Y25:Y29" si="102">$G$4+R25+SIN(theta)*(X25-K25/COS(RADIANS(CT25))/COS(RADIANS(CS25)))/12</f>
        <v>3.2</v>
      </c>
      <c r="Z25" s="90">
        <v>0</v>
      </c>
      <c r="AA25" s="91">
        <f t="shared" ref="AA25:AA29" si="103">$G$4-((Z25+K25/COS(RADIANS(CS25))/COS(RADIANS(CT25)))/12)*SIN(theta)</f>
        <v>3.1352952387243702</v>
      </c>
      <c r="AB25" s="83">
        <f t="shared" ref="AB25:AB29" ca="1" si="104">S25-D25-(Y25+AI25*COS(theta))</f>
        <v>10.939384097530379</v>
      </c>
      <c r="AC25" s="92">
        <v>0.97641702112888917</v>
      </c>
      <c r="AD25" s="83">
        <f t="shared" ref="AD25:AD29" ca="1" si="105">SQRT(2*32.17*AB25)*AC25*$AD$2</f>
        <v>25.904326508734815</v>
      </c>
      <c r="AE25" s="83">
        <f t="shared" ref="AE25:AE29" ca="1" si="106">AB25*$AD$2^2</f>
        <v>10.939384097530379</v>
      </c>
      <c r="AF25" s="90">
        <f t="shared" ref="AF25:AF29" ca="1" si="107">SQRT(2*32.17*AE25)</f>
        <v>26.529982526098742</v>
      </c>
      <c r="AG25" s="90">
        <f t="shared" ref="AG25:AH25" ca="1" si="108">AG24</f>
        <v>31.746017140348766</v>
      </c>
      <c r="AH25" s="87">
        <f t="shared" ca="1" si="108"/>
        <v>0.10745155362285756</v>
      </c>
      <c r="AI25" s="4">
        <f t="shared" ref="AI25:AI29" ca="1" si="109">((I25/2)*(1+AH25)/AG25)^(1/(1+AH25))</f>
        <v>0.25924961902269206</v>
      </c>
      <c r="AJ25" s="4">
        <f t="shared" ref="AJ25:AJ29" ca="1" si="110">AI25*12</f>
        <v>3.1109954282723047</v>
      </c>
      <c r="AK25" s="88"/>
      <c r="AL25" s="88"/>
      <c r="AM25" s="4"/>
      <c r="AN25" s="4"/>
      <c r="AO25" s="4"/>
      <c r="AP25" s="4"/>
      <c r="AQ25" s="4"/>
      <c r="AR25" s="93">
        <f t="shared" ca="1" si="95"/>
        <v>9.5555164942984838</v>
      </c>
      <c r="AS25" s="93">
        <v>0</v>
      </c>
      <c r="AT25" s="93">
        <f ca="1">AT22</f>
        <v>24.795199762114532</v>
      </c>
      <c r="AU25" s="93">
        <f t="shared" ca="1" si="21"/>
        <v>0</v>
      </c>
      <c r="AV25" s="93">
        <f t="shared" ref="AV25:AV29" ca="1" si="111">AG25*Q25^AH25</f>
        <v>26.647493775243532</v>
      </c>
      <c r="AW25" s="94"/>
      <c r="AX25" s="94"/>
      <c r="AY25" s="4"/>
      <c r="AZ25" s="88"/>
      <c r="BA25" s="4"/>
      <c r="BB25" s="4"/>
      <c r="BC25" s="4"/>
      <c r="BD25" s="4"/>
      <c r="BE25" s="4"/>
      <c r="BF25" s="4"/>
      <c r="BG25" s="4"/>
      <c r="BH25" s="4"/>
      <c r="BI25" s="94">
        <f t="shared" ca="1" si="90"/>
        <v>0.25924961902269206</v>
      </c>
      <c r="BJ25" s="94">
        <f ca="1">IF('Depth profiles'!Q25=0,NA(),'Depth profiles'!Q25)/BI25</f>
        <v>0.75627615269429072</v>
      </c>
      <c r="BK25" s="94">
        <f ca="1">IF(ISBLANK('Depth profiles'!AM25),BK24,'Depth profiles'!AM25)</f>
        <v>24.795199762114532</v>
      </c>
      <c r="BL25" s="94">
        <f ca="1">IF('Depth profiles'!AF25=0,NA(),'Depth profiles'!AF25)/'Depth profiles'!BK25</f>
        <v>1.0699644600821021</v>
      </c>
      <c r="BM25" s="94">
        <f t="shared" ref="BM25:BM29" ca="1" si="112">SQRT(32.17*BI25*SIN(theta))</f>
        <v>1.4692060537716363</v>
      </c>
      <c r="BN25" s="94">
        <f t="shared" ref="BN25:BN29" ca="1" si="113">25.4*12*11.84*viscosity/BM25</f>
        <v>2.9475772910701054E-2</v>
      </c>
      <c r="BO25" s="94">
        <f t="shared" ref="BO25:BO29" ca="1" si="114">(J25/12)*BM25/viscosity</f>
        <v>0</v>
      </c>
      <c r="BP25" s="94"/>
      <c r="BQ25" s="94"/>
      <c r="BR25" s="94"/>
      <c r="BS25" s="97"/>
      <c r="BT25" s="90"/>
      <c r="BU25" s="97"/>
      <c r="BV25" s="4"/>
      <c r="BW25" s="83"/>
      <c r="BX25" s="83"/>
      <c r="BY25" s="83"/>
      <c r="BZ25" s="83"/>
      <c r="CA25" s="83"/>
      <c r="CB25" s="86"/>
      <c r="CC25" s="83"/>
      <c r="CD25" s="90"/>
      <c r="CE25" s="90"/>
      <c r="CF25" s="98"/>
      <c r="CG25" s="90"/>
      <c r="CH25" s="90"/>
      <c r="CI25" s="93"/>
      <c r="CJ25" s="90"/>
      <c r="CK25" s="90"/>
      <c r="CL25" s="4"/>
      <c r="CM25" s="4"/>
      <c r="CN25" s="4"/>
      <c r="CO25" s="4"/>
      <c r="CP25" s="4"/>
      <c r="CQ25" s="4"/>
      <c r="CR25" s="4" t="s">
        <v>183</v>
      </c>
      <c r="CS25" s="86">
        <v>0</v>
      </c>
      <c r="CT25" s="86">
        <v>0</v>
      </c>
      <c r="CZ25" s="46"/>
      <c r="DA25" s="46"/>
    </row>
    <row r="26" spans="1:109">
      <c r="A26" s="1" t="s">
        <v>186</v>
      </c>
      <c r="B26" s="63">
        <v>45056</v>
      </c>
      <c r="C26" s="64">
        <v>0.60625000000000007</v>
      </c>
      <c r="D26">
        <v>1.0200000000000001E-2</v>
      </c>
      <c r="E26" t="s">
        <v>185</v>
      </c>
      <c r="F26" s="1" t="s">
        <v>184</v>
      </c>
      <c r="G26">
        <v>8.1960000000000005E-2</v>
      </c>
      <c r="H26" s="68">
        <f>AVERAGE(1312.08,1329.43)</f>
        <v>1320.7550000000001</v>
      </c>
      <c r="I26" s="66">
        <f t="shared" ref="I26" si="115">G26*H26^0.5*1</f>
        <v>2.9786061472453857</v>
      </c>
      <c r="J26">
        <v>0</v>
      </c>
      <c r="K26">
        <v>3</v>
      </c>
      <c r="L26" s="67" t="e">
        <f>NA()</f>
        <v>#N/A</v>
      </c>
      <c r="M26">
        <f>O26-(P26-0.052/2)*2.54</f>
        <v>40.49</v>
      </c>
      <c r="N26" s="100" cm="1">
        <f t="array" aca="1" ref="N26" ca="1">CORREL(LOG(AD26:AD30),LOG(P26:P30))</f>
        <v>0.9994991537461857</v>
      </c>
      <c r="O26" s="68">
        <v>40.49</v>
      </c>
      <c r="P26" s="6">
        <f>0.052/2+0</f>
        <v>2.5999999999999999E-2</v>
      </c>
      <c r="Q26" s="69">
        <f t="shared" si="101"/>
        <v>2.1666666666666666E-3</v>
      </c>
      <c r="R26" s="18"/>
      <c r="S26" s="95">
        <v>5.89</v>
      </c>
      <c r="T26" s="95">
        <v>0</v>
      </c>
      <c r="U26" s="70">
        <f ca="1">T26-AA26-D26-AI26*COS(theta)</f>
        <v>-3.2251739902440439</v>
      </c>
      <c r="V26" s="70"/>
      <c r="W26" s="70"/>
      <c r="X26" s="67">
        <v>3</v>
      </c>
      <c r="Y26" s="66">
        <f t="shared" si="102"/>
        <v>3.2</v>
      </c>
      <c r="Z26" s="70">
        <v>0</v>
      </c>
      <c r="AA26" s="6">
        <f t="shared" si="103"/>
        <v>3.1352952387243702</v>
      </c>
      <c r="AB26" s="66">
        <f t="shared" ca="1" si="104"/>
        <v>2.6001212484803258</v>
      </c>
      <c r="AC26" s="71">
        <v>0.97641702112888917</v>
      </c>
      <c r="AD26" s="66">
        <f t="shared" ca="1" si="105"/>
        <v>12.629107790848972</v>
      </c>
      <c r="AE26" s="66">
        <f t="shared" ca="1" si="106"/>
        <v>2.6001212484803258</v>
      </c>
      <c r="AF26" s="70">
        <f t="shared" ca="1" si="107"/>
        <v>12.934133180357476</v>
      </c>
      <c r="AG26" s="72" cm="1">
        <f t="array" aca="1" ref="AG26" ca="1">IFERROR(10^INTERCEPT(LOG(AF26:AF30),LOG(Q26:Q30)),30)</f>
        <v>27.429798503242985</v>
      </c>
      <c r="AH26" s="73" cm="1">
        <f t="array" aca="1" ref="AH26" ca="1">IFERROR(SLOPE(LOG(AF26:AF30),LOG(Q26:Q30)),0.1)</f>
        <v>0.12162336161216229</v>
      </c>
      <c r="AI26" s="11">
        <f t="shared" ca="1" si="109"/>
        <v>8.2489513533131817E-2</v>
      </c>
      <c r="AJ26" s="11">
        <f t="shared" ca="1" si="110"/>
        <v>0.98987416239758175</v>
      </c>
      <c r="AK26" s="70" t="e">
        <f ca="1">AJ26/J26</f>
        <v>#DIV/0!</v>
      </c>
      <c r="AL26" s="70">
        <f ca="1">K26/AJ26</f>
        <v>3.0306882571151035</v>
      </c>
      <c r="AM26" s="11">
        <f ca="1">I26/2/AI26</f>
        <v>18.054453346054903</v>
      </c>
      <c r="AN26" s="70">
        <f ca="1">AM26/SQRT(32.17*AI26*COS(theta))</f>
        <v>11.27684348195354</v>
      </c>
      <c r="AO26" s="70" t="e">
        <f>I26/2/SQRT(32.17*COS(theta)*(J26/12)^3)</f>
        <v>#DIV/0!</v>
      </c>
      <c r="AP26" s="70" t="e">
        <f ca="1">AM26/SQRT(32.17*COS(theta)*(J26/12))</f>
        <v>#DIV/0!</v>
      </c>
      <c r="AQ26" s="99" t="e">
        <f ca="1">SQRT(2*32.17*U26)/SQRT(32.17*COS(theta)*(K26/12))</f>
        <v>#NUM!</v>
      </c>
      <c r="AR26" s="11">
        <f ca="1">AM26^2/2/32.17</f>
        <v>5.0662618219594817</v>
      </c>
      <c r="AS26" s="11">
        <f>J26/12</f>
        <v>0</v>
      </c>
      <c r="AT26" s="11">
        <f ca="1">AG26*(J26*$AT$5/12)^(AH26)</f>
        <v>0</v>
      </c>
      <c r="AU26" s="11">
        <f ca="1">AT26^2/2/32.17</f>
        <v>0</v>
      </c>
      <c r="AV26" s="11">
        <f t="shared" ca="1" si="111"/>
        <v>13.007465920842021</v>
      </c>
      <c r="AW26" s="7">
        <f ca="1">J26/(AJ26-J26)</f>
        <v>0</v>
      </c>
      <c r="AX26" s="74">
        <f ca="1">K26/(AJ26-J26)</f>
        <v>3.0306882571151035</v>
      </c>
      <c r="AY26" s="75">
        <f ca="1">U26/AR26</f>
        <v>-0.63659836455050034</v>
      </c>
      <c r="AZ26" s="6" t="e">
        <f>K26/J26</f>
        <v>#DIV/0!</v>
      </c>
      <c r="BA26" s="10" t="e">
        <f ca="1">(SQRT(2*32.17*U26)/AG26)^(1/AH26)/(J26/12)</f>
        <v>#NUM!</v>
      </c>
      <c r="BB26" s="10" t="e">
        <f ca="1">(SQRT(2*32.17*U26)/AG26)^(1/AH26)/AI26</f>
        <v>#NUM!</v>
      </c>
      <c r="BC26" s="75" t="e">
        <f ca="1">(AY26-(1+$BB$60)*(0.8223*#REF!+0.5707+1)^-1)^2</f>
        <v>#REF!</v>
      </c>
      <c r="BD26" s="76" t="e">
        <f ca="1">304.8*(SQRT(2*32.17*U26)/AG26)^(1/AH26)</f>
        <v>#NUM!</v>
      </c>
      <c r="BE26" s="77" t="e">
        <f ca="1">AG26*(J26*$BE$5/12)^(AH26)*(AND($BE$5&gt;0,$BE$5&lt;&gt;2))+AM26*($BE$5=0)+SQRT(2*32.17*U26)*($BE$5=2)</f>
        <v>#NUM!</v>
      </c>
      <c r="BF26" s="78" t="e">
        <f ca="1">BE26*4*AI26/viscosity</f>
        <v>#NUM!</v>
      </c>
      <c r="BG26" s="78" t="e">
        <f ca="1">BE26*J26/12/viscosity</f>
        <v>#NUM!</v>
      </c>
      <c r="BH26" s="77">
        <f ca="1">IFERROR((2*LOG10(2/($BH$5/AI26))+1.74-2*LOG10(1+18.7*2/($BH$5/AI26)/(BF26*BH26^0.5)))^-2,0.02)</f>
        <v>0.02</v>
      </c>
      <c r="BI26" s="74">
        <f ca="1">IF(ISBLANK(AI26),#REF!,AI26)</f>
        <v>8.2489513533131817E-2</v>
      </c>
      <c r="BJ26" s="74">
        <f ca="1">IF('Depth profiles'!Q26=0,NA(),'Depth profiles'!Q26)/BI26</f>
        <v>2.6265964894997561E-2</v>
      </c>
      <c r="BK26" s="74">
        <f ca="1">IF(ISBLANK('Depth profiles'!AM26),BK685,'Depth profiles'!AM26)</f>
        <v>18.054453346054903</v>
      </c>
      <c r="BL26" s="74">
        <f ca="1">IF('Depth profiles'!AF26=0,NA(),'Depth profiles'!AF26)/'Depth profiles'!BK26</f>
        <v>0.71639572422632924</v>
      </c>
      <c r="BM26" s="74">
        <f t="shared" ca="1" si="112"/>
        <v>0.82874899919501999</v>
      </c>
      <c r="BN26" s="74">
        <f t="shared" ca="1" si="113"/>
        <v>5.2254644098591894E-2</v>
      </c>
      <c r="BO26" s="74">
        <f t="shared" ca="1" si="114"/>
        <v>0</v>
      </c>
      <c r="BP26" s="74">
        <f ca="1">(1+AH26)^3/(1+3*AH26)</f>
        <v>1.0338316510789434</v>
      </c>
      <c r="BQ26" s="74" t="e">
        <f ca="1">($BQ$7/AK26)^(3*AH26)*(1+AH26)^3/(1+3*AH26)</f>
        <v>#DIV/0!</v>
      </c>
      <c r="BR26" s="74" t="e">
        <f ca="1">(U26/(BQ26*AR26))*(1+$BR$3*AZ26)</f>
        <v>#DIV/0!</v>
      </c>
      <c r="BS26" s="95"/>
      <c r="BT26" s="70"/>
      <c r="BU26" s="95"/>
      <c r="BW26" s="66"/>
      <c r="BX26" s="66"/>
      <c r="BY26" s="66"/>
      <c r="BZ26" s="66"/>
      <c r="CA26" s="66"/>
      <c r="CB26" s="68"/>
      <c r="CC26" s="66"/>
      <c r="CD26" s="70"/>
      <c r="CE26" s="70"/>
      <c r="CF26" s="96"/>
      <c r="CG26" s="70"/>
      <c r="CH26" s="70"/>
      <c r="CI26" s="11"/>
      <c r="CJ26" s="70"/>
      <c r="CK26" s="70"/>
      <c r="CR26" t="s">
        <v>183</v>
      </c>
      <c r="CS26" s="68">
        <v>0</v>
      </c>
      <c r="CT26" s="68">
        <v>0</v>
      </c>
      <c r="DA26" s="46"/>
      <c r="DD26" s="18"/>
      <c r="DE26" s="18"/>
    </row>
    <row r="27" spans="1:109">
      <c r="B27" s="63">
        <f t="shared" ref="B27:C27" si="116">B26</f>
        <v>45056</v>
      </c>
      <c r="C27" s="64">
        <f t="shared" si="116"/>
        <v>0.60625000000000007</v>
      </c>
      <c r="D27">
        <v>1.0200000000000001E-2</v>
      </c>
      <c r="E27" t="s">
        <v>185</v>
      </c>
      <c r="F27" s="1" t="str">
        <f t="shared" ref="F27:H27" si="117">F26</f>
        <v>NE 6"</v>
      </c>
      <c r="G27">
        <f t="shared" si="117"/>
        <v>8.1960000000000005E-2</v>
      </c>
      <c r="H27">
        <f t="shared" si="117"/>
        <v>1320.7550000000001</v>
      </c>
      <c r="I27" s="66">
        <f>I26</f>
        <v>2.9786061472453857</v>
      </c>
      <c r="J27">
        <f t="shared" ref="J27:L27" si="118">J26</f>
        <v>0</v>
      </c>
      <c r="K27">
        <f t="shared" si="118"/>
        <v>3</v>
      </c>
      <c r="L27" s="67" t="e">
        <f t="shared" si="118"/>
        <v>#N/A</v>
      </c>
      <c r="N27" s="17"/>
      <c r="O27" s="68">
        <v>40.549999999999997</v>
      </c>
      <c r="P27" s="79" cm="1">
        <f t="array" aca="1" ref="P27" ca="1">INDIRECT("P"&amp;ROW(O27)-1)+(O27-INDIRECT("O"&amp;ROW(O27)-1))*10/25.4</f>
        <v>4.9622047244092582E-2</v>
      </c>
      <c r="Q27" s="69">
        <f t="shared" ca="1" si="101"/>
        <v>4.1351706036743818E-3</v>
      </c>
      <c r="R27" s="18"/>
      <c r="S27" s="95">
        <f>offset+0.44</f>
        <v>6.3900000000000006</v>
      </c>
      <c r="T27" s="65"/>
      <c r="U27" s="70">
        <f t="shared" ca="1" si="17"/>
        <v>-3.2251739902440439</v>
      </c>
      <c r="V27" s="70"/>
      <c r="W27" s="70"/>
      <c r="X27" s="67">
        <f>X26</f>
        <v>3</v>
      </c>
      <c r="Y27" s="66">
        <f t="shared" si="102"/>
        <v>3.2</v>
      </c>
      <c r="Z27" s="70">
        <v>0</v>
      </c>
      <c r="AA27" s="6">
        <f t="shared" si="103"/>
        <v>3.1352952387243702</v>
      </c>
      <c r="AB27" s="66">
        <f t="shared" ca="1" si="104"/>
        <v>3.1001212484803267</v>
      </c>
      <c r="AC27" s="71">
        <v>0.97641702112888917</v>
      </c>
      <c r="AD27" s="66">
        <f t="shared" ca="1" si="105"/>
        <v>13.790029960066969</v>
      </c>
      <c r="AE27" s="66">
        <f t="shared" ca="1" si="106"/>
        <v>3.1001212484803267</v>
      </c>
      <c r="AF27" s="70">
        <f t="shared" ca="1" si="107"/>
        <v>14.123094601652438</v>
      </c>
      <c r="AG27" s="70">
        <f t="shared" ref="AG27:AH27" ca="1" si="119">AG26</f>
        <v>27.429798503242985</v>
      </c>
      <c r="AH27" s="69">
        <f t="shared" ca="1" si="119"/>
        <v>0.12162336161216229</v>
      </c>
      <c r="AI27">
        <f t="shared" ca="1" si="109"/>
        <v>8.2489513533131817E-2</v>
      </c>
      <c r="AJ27">
        <f t="shared" ca="1" si="110"/>
        <v>0.98987416239758175</v>
      </c>
      <c r="AK27" s="18"/>
      <c r="AL27" s="18"/>
      <c r="AR27" s="11">
        <f ca="1">AR26</f>
        <v>5.0662618219594817</v>
      </c>
      <c r="AS27">
        <f>AS26</f>
        <v>0</v>
      </c>
      <c r="AT27">
        <f ca="1">AM26</f>
        <v>18.054453346054903</v>
      </c>
      <c r="AU27" s="11">
        <f t="shared" ca="1" si="21"/>
        <v>0</v>
      </c>
      <c r="AV27" s="11">
        <f t="shared" ca="1" si="111"/>
        <v>14.07124536634961</v>
      </c>
      <c r="AW27" s="7"/>
      <c r="AX27" s="7"/>
      <c r="AZ27" s="18"/>
      <c r="BI27" s="7">
        <f t="shared" ref="BI27:BI30" ca="1" si="120">IF(ISBLANK(AI27),BI26,AI27)</f>
        <v>8.2489513533131817E-2</v>
      </c>
      <c r="BJ27" s="7">
        <f ca="1">IF('Depth profiles'!Q27=0,NA(),'Depth profiles'!Q27)/BI27</f>
        <v>5.0129651958894086E-2</v>
      </c>
      <c r="BK27" s="7">
        <f ca="1">IF(ISBLANK('Depth profiles'!AM27),BK26,'Depth profiles'!AM27)</f>
        <v>18.054453346054903</v>
      </c>
      <c r="BL27" s="7">
        <f ca="1">IF('Depth profiles'!AF27=0,NA(),'Depth profiles'!AF27)/'Depth profiles'!BK27</f>
        <v>0.78224991535057975</v>
      </c>
      <c r="BM27" s="7">
        <f t="shared" ca="1" si="112"/>
        <v>0.82874899919501999</v>
      </c>
      <c r="BN27" s="7">
        <f t="shared" ca="1" si="113"/>
        <v>5.2254644098591894E-2</v>
      </c>
      <c r="BO27" s="7">
        <f t="shared" ca="1" si="114"/>
        <v>0</v>
      </c>
      <c r="BP27" s="7"/>
      <c r="BQ27" s="7"/>
      <c r="BR27" s="7"/>
      <c r="BS27" s="95"/>
      <c r="BT27" s="70"/>
      <c r="BU27" s="95"/>
      <c r="BW27" s="66"/>
      <c r="BX27" s="66"/>
      <c r="BY27" s="66"/>
      <c r="BZ27" s="66"/>
      <c r="CA27" s="66"/>
      <c r="CB27" s="68"/>
      <c r="CC27" s="66"/>
      <c r="CD27" s="70"/>
      <c r="CE27" s="70"/>
      <c r="CF27" s="96"/>
      <c r="CG27" s="70"/>
      <c r="CH27" s="70"/>
      <c r="CI27" s="11"/>
      <c r="CJ27" s="70"/>
      <c r="CK27" s="70"/>
      <c r="CR27" t="s">
        <v>183</v>
      </c>
      <c r="CS27" s="68">
        <v>0</v>
      </c>
      <c r="CT27" s="68">
        <v>0</v>
      </c>
      <c r="CZ27" s="46"/>
      <c r="DA27" s="46"/>
    </row>
    <row r="28" spans="1:109">
      <c r="B28" s="63">
        <f t="shared" ref="B28:C28" si="121">B27</f>
        <v>45056</v>
      </c>
      <c r="C28" s="64">
        <f t="shared" si="121"/>
        <v>0.60625000000000007</v>
      </c>
      <c r="D28">
        <v>1.0200000000000001E-2</v>
      </c>
      <c r="E28" t="s">
        <v>185</v>
      </c>
      <c r="F28" s="1" t="str">
        <f t="shared" ref="F28:L28" si="122">F27</f>
        <v>NE 6"</v>
      </c>
      <c r="G28">
        <f t="shared" si="122"/>
        <v>8.1960000000000005E-2</v>
      </c>
      <c r="H28">
        <f t="shared" si="122"/>
        <v>1320.7550000000001</v>
      </c>
      <c r="I28" s="66">
        <f t="shared" si="122"/>
        <v>2.9786061472453857</v>
      </c>
      <c r="J28">
        <f t="shared" si="122"/>
        <v>0</v>
      </c>
      <c r="K28">
        <f t="shared" si="122"/>
        <v>3</v>
      </c>
      <c r="L28" s="67" t="e">
        <f t="shared" si="122"/>
        <v>#N/A</v>
      </c>
      <c r="N28" s="17"/>
      <c r="O28" s="68">
        <v>40.700000000000003</v>
      </c>
      <c r="P28" s="69" cm="1">
        <f t="array" aca="1" ref="P28" ca="1">INDIRECT("P"&amp;ROW(O28)-1)+(O28-INDIRECT("O"&amp;ROW(O28)-1))*10/25.4</f>
        <v>0.10867716535433104</v>
      </c>
      <c r="Q28" s="69">
        <f t="shared" ca="1" si="101"/>
        <v>9.0564304461942541E-3</v>
      </c>
      <c r="R28" s="18"/>
      <c r="S28" s="95">
        <f>offset+1.11</f>
        <v>7.0600000000000005</v>
      </c>
      <c r="T28" s="65"/>
      <c r="U28" s="70">
        <f t="shared" ca="1" si="17"/>
        <v>-3.2251739902440439</v>
      </c>
      <c r="V28" s="70"/>
      <c r="W28" s="70"/>
      <c r="X28" s="67">
        <f t="shared" ref="X28:X30" si="123">X27</f>
        <v>3</v>
      </c>
      <c r="Y28" s="66">
        <f t="shared" si="102"/>
        <v>3.2</v>
      </c>
      <c r="Z28" s="70">
        <v>0</v>
      </c>
      <c r="AA28" s="6">
        <f t="shared" si="103"/>
        <v>3.1352952387243702</v>
      </c>
      <c r="AB28" s="66">
        <f t="shared" ca="1" si="104"/>
        <v>3.7701212484803266</v>
      </c>
      <c r="AC28" s="71">
        <v>0.97641702112888917</v>
      </c>
      <c r="AD28" s="66">
        <f t="shared" ca="1" si="105"/>
        <v>15.207349549690511</v>
      </c>
      <c r="AE28" s="66">
        <f t="shared" ca="1" si="106"/>
        <v>3.7701212484803266</v>
      </c>
      <c r="AF28" s="70">
        <f t="shared" ca="1" si="107"/>
        <v>15.574646099581981</v>
      </c>
      <c r="AG28" s="70">
        <f t="shared" ref="AG28:AH28" ca="1" si="124">AG27</f>
        <v>27.429798503242985</v>
      </c>
      <c r="AH28" s="69">
        <f t="shared" ca="1" si="124"/>
        <v>0.12162336161216229</v>
      </c>
      <c r="AI28">
        <f t="shared" ca="1" si="109"/>
        <v>8.2489513533131817E-2</v>
      </c>
      <c r="AJ28">
        <f t="shared" ca="1" si="110"/>
        <v>0.98987416239758175</v>
      </c>
      <c r="AK28" s="18"/>
      <c r="AL28" s="18"/>
      <c r="AR28" s="11">
        <f t="shared" ref="AR28:AR30" ca="1" si="125">AR27</f>
        <v>5.0662618219594817</v>
      </c>
      <c r="AS28">
        <f>AS26</f>
        <v>0</v>
      </c>
      <c r="AT28">
        <f ca="1">AT26</f>
        <v>0</v>
      </c>
      <c r="AU28" s="11">
        <f t="shared" ca="1" si="21"/>
        <v>0</v>
      </c>
      <c r="AV28" s="11">
        <f t="shared" ca="1" si="111"/>
        <v>15.478927516628991</v>
      </c>
      <c r="AW28" s="7"/>
      <c r="AX28" s="7"/>
      <c r="AZ28" s="18"/>
      <c r="BI28" s="7">
        <f t="shared" ca="1" si="120"/>
        <v>8.2489513533131817E-2</v>
      </c>
      <c r="BJ28" s="7">
        <f ca="1">IF('Depth profiles'!Q28=0,NA(),'Depth profiles'!Q28)/BI28</f>
        <v>0.1097888696186425</v>
      </c>
      <c r="BK28" s="7">
        <f ca="1">IF(ISBLANK('Depth profiles'!AM28),BK27,'Depth profiles'!AM28)</f>
        <v>18.054453346054903</v>
      </c>
      <c r="BL28" s="7">
        <f ca="1">IF('Depth profiles'!AF28=0,NA(),'Depth profiles'!AF28)/'Depth profiles'!BK28</f>
        <v>0.86264844473871671</v>
      </c>
      <c r="BM28" s="7">
        <f t="shared" ca="1" si="112"/>
        <v>0.82874899919501999</v>
      </c>
      <c r="BN28" s="7">
        <f t="shared" ca="1" si="113"/>
        <v>5.2254644098591894E-2</v>
      </c>
      <c r="BO28" s="7">
        <f t="shared" ca="1" si="114"/>
        <v>0</v>
      </c>
      <c r="BP28" s="7"/>
      <c r="BQ28" s="7"/>
      <c r="BR28" s="7"/>
      <c r="BS28" s="95"/>
      <c r="BT28" s="70"/>
      <c r="BU28" s="95"/>
      <c r="BW28" s="66"/>
      <c r="BX28" s="66"/>
      <c r="BY28" s="66"/>
      <c r="BZ28" s="66"/>
      <c r="CA28" s="66"/>
      <c r="CB28" s="68"/>
      <c r="CC28" s="66"/>
      <c r="CD28" s="70"/>
      <c r="CE28" s="70"/>
      <c r="CF28" s="96"/>
      <c r="CG28" s="70"/>
      <c r="CH28" s="70"/>
      <c r="CI28" s="11"/>
      <c r="CJ28" s="70"/>
      <c r="CK28" s="70"/>
      <c r="CR28" t="s">
        <v>183</v>
      </c>
      <c r="CS28" s="68">
        <v>0</v>
      </c>
      <c r="CT28" s="68">
        <v>0</v>
      </c>
      <c r="CZ28" s="46"/>
      <c r="DA28" s="46"/>
    </row>
    <row r="29" spans="1:109">
      <c r="B29" s="63">
        <f t="shared" ref="B29:C29" si="126">B28</f>
        <v>45056</v>
      </c>
      <c r="C29" s="64">
        <f t="shared" si="126"/>
        <v>0.60625000000000007</v>
      </c>
      <c r="D29">
        <v>1.0200000000000001E-2</v>
      </c>
      <c r="E29" t="s">
        <v>185</v>
      </c>
      <c r="F29" s="1" t="str">
        <f t="shared" ref="F29:L29" si="127">F28</f>
        <v>NE 6"</v>
      </c>
      <c r="G29">
        <f t="shared" si="127"/>
        <v>8.1960000000000005E-2</v>
      </c>
      <c r="H29">
        <f t="shared" si="127"/>
        <v>1320.7550000000001</v>
      </c>
      <c r="I29" s="66">
        <f t="shared" si="127"/>
        <v>2.9786061472453857</v>
      </c>
      <c r="J29">
        <f t="shared" si="127"/>
        <v>0</v>
      </c>
      <c r="K29">
        <f t="shared" si="127"/>
        <v>3</v>
      </c>
      <c r="L29" s="67" t="e">
        <f t="shared" si="127"/>
        <v>#N/A</v>
      </c>
      <c r="N29" s="17"/>
      <c r="O29" s="68">
        <v>41</v>
      </c>
      <c r="P29" s="69" cm="1">
        <f t="array" aca="1" ref="P29" ca="1">INDIRECT("P"&amp;ROW(O29)-1)+(O29-INDIRECT("O"&amp;ROW(O29)-1))*10/25.4</f>
        <v>0.22678740157480237</v>
      </c>
      <c r="Q29" s="69">
        <f t="shared" ca="1" si="101"/>
        <v>1.8898950131233532E-2</v>
      </c>
      <c r="R29" s="18"/>
      <c r="S29" s="95">
        <f>offset+1.775</f>
        <v>7.7249999999999996</v>
      </c>
      <c r="T29" s="65"/>
      <c r="U29" s="70">
        <f t="shared" ca="1" si="17"/>
        <v>-3.2251739902440439</v>
      </c>
      <c r="V29" s="70"/>
      <c r="W29" s="70"/>
      <c r="X29" s="67">
        <f t="shared" si="123"/>
        <v>3</v>
      </c>
      <c r="Y29" s="66">
        <f t="shared" si="102"/>
        <v>3.2</v>
      </c>
      <c r="Z29" s="70">
        <v>0</v>
      </c>
      <c r="AA29" s="6">
        <f t="shared" si="103"/>
        <v>3.1352952387243702</v>
      </c>
      <c r="AB29" s="66">
        <f t="shared" ca="1" si="104"/>
        <v>4.4351212484803257</v>
      </c>
      <c r="AC29" s="71">
        <v>0.97641702112888917</v>
      </c>
      <c r="AD29" s="66">
        <f t="shared" ca="1" si="105"/>
        <v>16.494099815580512</v>
      </c>
      <c r="AE29" s="66">
        <f t="shared" ca="1" si="106"/>
        <v>4.4351212484803257</v>
      </c>
      <c r="AF29" s="70">
        <f t="shared" ca="1" si="107"/>
        <v>16.892474689258059</v>
      </c>
      <c r="AG29" s="70">
        <f t="shared" ref="AG29:AH29" ca="1" si="128">AG28</f>
        <v>27.429798503242985</v>
      </c>
      <c r="AH29" s="69">
        <f t="shared" ca="1" si="128"/>
        <v>0.12162336161216229</v>
      </c>
      <c r="AI29">
        <f t="shared" ca="1" si="109"/>
        <v>8.2489513533131817E-2</v>
      </c>
      <c r="AJ29">
        <f t="shared" ca="1" si="110"/>
        <v>0.98987416239758175</v>
      </c>
      <c r="AK29" s="18"/>
      <c r="AL29" s="18"/>
      <c r="AR29" s="11">
        <f t="shared" ca="1" si="125"/>
        <v>5.0662618219594817</v>
      </c>
      <c r="AS29">
        <v>0</v>
      </c>
      <c r="AT29">
        <f ca="1">AT26</f>
        <v>0</v>
      </c>
      <c r="AU29" s="11">
        <f t="shared" ca="1" si="21"/>
        <v>0</v>
      </c>
      <c r="AV29" s="11">
        <f t="shared" ca="1" si="111"/>
        <v>16.927669606868193</v>
      </c>
      <c r="AW29" s="7"/>
      <c r="AX29" s="7"/>
      <c r="AZ29" s="18"/>
      <c r="BI29" s="7">
        <f t="shared" ca="1" si="120"/>
        <v>8.2489513533131817E-2</v>
      </c>
      <c r="BJ29" s="7">
        <f ca="1">IF('Depth profiles'!Q29=0,NA(),'Depth profiles'!Q29)/BI29</f>
        <v>0.22910730493813364</v>
      </c>
      <c r="BK29" s="7">
        <f ca="1">IF(ISBLANK('Depth profiles'!AM29),BK28,'Depth profiles'!AM29)</f>
        <v>18.054453346054903</v>
      </c>
      <c r="BL29" s="7">
        <f ca="1">IF('Depth profiles'!AF29=0,NA(),'Depth profiles'!AF29)/'Depth profiles'!BK29</f>
        <v>0.93564033014321368</v>
      </c>
      <c r="BM29" s="7">
        <f t="shared" ca="1" si="112"/>
        <v>0.82874899919501999</v>
      </c>
      <c r="BN29" s="7">
        <f t="shared" ca="1" si="113"/>
        <v>5.2254644098591894E-2</v>
      </c>
      <c r="BO29" s="7">
        <f t="shared" ca="1" si="114"/>
        <v>0</v>
      </c>
      <c r="BP29" s="7"/>
      <c r="BQ29" s="7"/>
      <c r="BR29" s="7"/>
      <c r="BS29" s="95"/>
      <c r="BT29" s="70"/>
      <c r="BU29" s="95"/>
      <c r="BW29" s="66"/>
      <c r="BX29" s="66"/>
      <c r="BY29" s="66"/>
      <c r="BZ29" s="66"/>
      <c r="CA29" s="66"/>
      <c r="CB29" s="68"/>
      <c r="CC29" s="66"/>
      <c r="CD29" s="70"/>
      <c r="CE29" s="70"/>
      <c r="CF29" s="96"/>
      <c r="CG29" s="70"/>
      <c r="CH29" s="70"/>
      <c r="CI29" s="11"/>
      <c r="CJ29" s="70"/>
      <c r="CK29" s="70"/>
      <c r="CR29" t="s">
        <v>183</v>
      </c>
      <c r="CS29" s="68">
        <v>0</v>
      </c>
      <c r="CT29" s="68">
        <v>0</v>
      </c>
      <c r="CZ29" s="46"/>
      <c r="DA29" s="46"/>
    </row>
    <row r="30" spans="1:109">
      <c r="B30" s="80">
        <f t="shared" ref="B30:C30" si="129">B29</f>
        <v>45056</v>
      </c>
      <c r="C30" s="81">
        <f t="shared" si="129"/>
        <v>0.60625000000000007</v>
      </c>
      <c r="D30" s="4">
        <v>1.0200000000000001E-2</v>
      </c>
      <c r="E30" s="4" t="s">
        <v>185</v>
      </c>
      <c r="F30" s="82" t="str">
        <f t="shared" ref="F30:L30" si="130">F29</f>
        <v>NE 6"</v>
      </c>
      <c r="G30" s="4">
        <f t="shared" si="130"/>
        <v>8.1960000000000005E-2</v>
      </c>
      <c r="H30" s="4">
        <f t="shared" si="130"/>
        <v>1320.7550000000001</v>
      </c>
      <c r="I30" s="83">
        <f t="shared" si="130"/>
        <v>2.9786061472453857</v>
      </c>
      <c r="J30" s="4">
        <f t="shared" si="130"/>
        <v>0</v>
      </c>
      <c r="K30" s="4">
        <f t="shared" si="130"/>
        <v>3</v>
      </c>
      <c r="L30" s="84" t="e">
        <f t="shared" si="130"/>
        <v>#N/A</v>
      </c>
      <c r="M30" s="4"/>
      <c r="N30" s="85"/>
      <c r="O30" s="86">
        <v>42</v>
      </c>
      <c r="P30" s="87" cm="1">
        <f t="array" aca="1" ref="P30" ca="1">INDIRECT("P"&amp;ROW(O30)-1)+(O30-INDIRECT("O"&amp;ROW(O30)-1))*10/25.4</f>
        <v>0.62048818897637714</v>
      </c>
      <c r="Q30" s="87">
        <f t="shared" ref="Q30:Q34" ca="1" si="131">P30/12</f>
        <v>5.1707349081364762E-2</v>
      </c>
      <c r="R30" s="88"/>
      <c r="S30" s="97">
        <f>offset+3.005</f>
        <v>8.9550000000000001</v>
      </c>
      <c r="T30" s="89"/>
      <c r="U30" s="90">
        <f t="shared" ca="1" si="17"/>
        <v>-3.2251739902440439</v>
      </c>
      <c r="V30" s="90"/>
      <c r="W30" s="90"/>
      <c r="X30" s="84">
        <f t="shared" si="123"/>
        <v>3</v>
      </c>
      <c r="Y30" s="83">
        <f t="shared" ref="Y30:Y34" si="132">$G$4+R30+SIN(theta)*(X30-K30/COS(RADIANS(CT30))/COS(RADIANS(CS30)))/12</f>
        <v>3.2</v>
      </c>
      <c r="Z30" s="90">
        <v>0</v>
      </c>
      <c r="AA30" s="91">
        <f t="shared" ref="AA30:AA34" si="133">$G$4-((Z30+K30/COS(RADIANS(CS30))/COS(RADIANS(CT30)))/12)*SIN(theta)</f>
        <v>3.1352952387243702</v>
      </c>
      <c r="AB30" s="83">
        <f t="shared" ref="AB30:AB34" ca="1" si="134">S30-D30-(Y30+AI30*COS(theta))</f>
        <v>5.6651212484803271</v>
      </c>
      <c r="AC30" s="92">
        <v>0.97641702112888917</v>
      </c>
      <c r="AD30" s="83">
        <f t="shared" ref="AD30:AD34" ca="1" si="135">SQRT(2*32.17*AB30)*AC30*$AD$2</f>
        <v>18.641483658355163</v>
      </c>
      <c r="AE30" s="83">
        <f t="shared" ref="AE30:AE34" ca="1" si="136">AB30*$AD$2^2</f>
        <v>5.6651212484803271</v>
      </c>
      <c r="AF30" s="90">
        <f t="shared" ref="AF30:AF34" ca="1" si="137">SQRT(2*32.17*AE30)</f>
        <v>19.091723367135412</v>
      </c>
      <c r="AG30" s="90">
        <f t="shared" ref="AG30:AH30" ca="1" si="138">AG29</f>
        <v>27.429798503242985</v>
      </c>
      <c r="AH30" s="87">
        <f t="shared" ca="1" si="138"/>
        <v>0.12162336161216229</v>
      </c>
      <c r="AI30" s="4">
        <f t="shared" ref="AI30:AI34" ca="1" si="139">((I30/2)*(1+AH30)/AG30)^(1/(1+AH30))</f>
        <v>8.2489513533131817E-2</v>
      </c>
      <c r="AJ30" s="4">
        <f t="shared" ref="AJ30:AJ34" ca="1" si="140">AI30*12</f>
        <v>0.98987416239758175</v>
      </c>
      <c r="AK30" s="88"/>
      <c r="AL30" s="88"/>
      <c r="AM30" s="4"/>
      <c r="AN30" s="4"/>
      <c r="AO30" s="4"/>
      <c r="AP30" s="4"/>
      <c r="AQ30" s="4"/>
      <c r="AR30" s="93">
        <f t="shared" ca="1" si="125"/>
        <v>5.0662618219594817</v>
      </c>
      <c r="AS30" s="93">
        <v>0</v>
      </c>
      <c r="AT30" s="93">
        <f ca="1">AT27</f>
        <v>18.054453346054903</v>
      </c>
      <c r="AU30" s="93">
        <f t="shared" ca="1" si="21"/>
        <v>0</v>
      </c>
      <c r="AV30" s="93">
        <f t="shared" ref="AV30:AV34" ca="1" si="141">AG30*Q30^AH30</f>
        <v>19.132006521579331</v>
      </c>
      <c r="AW30" s="94"/>
      <c r="AX30" s="94"/>
      <c r="AY30" s="4"/>
      <c r="AZ30" s="88"/>
      <c r="BA30" s="4"/>
      <c r="BB30" s="4"/>
      <c r="BC30" s="4"/>
      <c r="BD30" s="4"/>
      <c r="BE30" s="4"/>
      <c r="BF30" s="4"/>
      <c r="BG30" s="4"/>
      <c r="BH30" s="4"/>
      <c r="BI30" s="94">
        <f t="shared" ca="1" si="120"/>
        <v>8.2489513533131817E-2</v>
      </c>
      <c r="BJ30" s="94">
        <f ca="1">IF('Depth profiles'!Q30=0,NA(),'Depth profiles'!Q30)/BI30</f>
        <v>0.62683542266977443</v>
      </c>
      <c r="BK30" s="94">
        <f ca="1">IF(ISBLANK('Depth profiles'!AM30),BK29,'Depth profiles'!AM30)</f>
        <v>18.054453346054903</v>
      </c>
      <c r="BL30" s="94">
        <f ca="1">IF('Depth profiles'!AF30=0,NA(),'Depth profiles'!AF30)/'Depth profiles'!BK30</f>
        <v>1.0574523083695118</v>
      </c>
      <c r="BM30" s="94">
        <f t="shared" ref="BM30:BM34" ca="1" si="142">SQRT(32.17*BI30*SIN(theta))</f>
        <v>0.82874899919501999</v>
      </c>
      <c r="BN30" s="94">
        <f t="shared" ref="BN30:BN34" ca="1" si="143">25.4*12*11.84*viscosity/BM30</f>
        <v>5.2254644098591894E-2</v>
      </c>
      <c r="BO30" s="94">
        <f t="shared" ref="BO30:BO34" ca="1" si="144">(J30/12)*BM30/viscosity</f>
        <v>0</v>
      </c>
      <c r="BP30" s="94"/>
      <c r="BQ30" s="94"/>
      <c r="BR30" s="94"/>
      <c r="BS30" s="97"/>
      <c r="BT30" s="90"/>
      <c r="BU30" s="97"/>
      <c r="BV30" s="4"/>
      <c r="BW30" s="83"/>
      <c r="BX30" s="83"/>
      <c r="BY30" s="83"/>
      <c r="BZ30" s="83"/>
      <c r="CA30" s="83"/>
      <c r="CB30" s="86"/>
      <c r="CC30" s="83"/>
      <c r="CD30" s="90"/>
      <c r="CE30" s="90"/>
      <c r="CF30" s="98"/>
      <c r="CG30" s="90"/>
      <c r="CH30" s="90"/>
      <c r="CI30" s="93"/>
      <c r="CJ30" s="90"/>
      <c r="CK30" s="90"/>
      <c r="CL30" s="4"/>
      <c r="CM30" s="4"/>
      <c r="CN30" s="4"/>
      <c r="CO30" s="4"/>
      <c r="CP30" s="4"/>
      <c r="CQ30" s="4"/>
      <c r="CR30" s="4" t="s">
        <v>183</v>
      </c>
      <c r="CS30" s="86">
        <v>0</v>
      </c>
      <c r="CT30" s="86">
        <v>0</v>
      </c>
      <c r="CZ30" s="46"/>
      <c r="DA30" s="46"/>
    </row>
    <row r="31" spans="1:109">
      <c r="A31" s="1" t="s">
        <v>186</v>
      </c>
      <c r="B31" s="63">
        <v>45058</v>
      </c>
      <c r="C31" s="64">
        <v>0.37222222222222223</v>
      </c>
      <c r="D31">
        <v>1.0200000000000001E-2</v>
      </c>
      <c r="E31" t="s">
        <v>185</v>
      </c>
      <c r="F31" s="1" t="s">
        <v>184</v>
      </c>
      <c r="G31">
        <v>8.1960000000000005E-2</v>
      </c>
      <c r="H31" s="68">
        <v>1321.78</v>
      </c>
      <c r="I31" s="66">
        <f t="shared" ref="I31" si="145">G31*H31^0.5*1</f>
        <v>2.9797617284017863</v>
      </c>
      <c r="J31">
        <v>0</v>
      </c>
      <c r="K31">
        <v>1.5</v>
      </c>
      <c r="L31" s="67" t="e">
        <f>NA()</f>
        <v>#N/A</v>
      </c>
      <c r="M31">
        <f>O31-(P31-0.052/2)*2.54</f>
        <v>40.450000000000003</v>
      </c>
      <c r="N31" s="100" cm="1">
        <f t="array" aca="1" ref="N31" ca="1">CORREL(LOG(AD31:AD35),LOG(P31:P35))</f>
        <v>0.99989483685087077</v>
      </c>
      <c r="O31" s="68">
        <v>40.450000000000003</v>
      </c>
      <c r="P31" s="6">
        <f>0.052/2+0</f>
        <v>2.5999999999999999E-2</v>
      </c>
      <c r="Q31" s="69">
        <f t="shared" si="131"/>
        <v>2.1666666666666666E-3</v>
      </c>
      <c r="R31" s="18"/>
      <c r="S31" s="95">
        <v>5.8849999999999998</v>
      </c>
      <c r="T31" s="95">
        <v>0</v>
      </c>
      <c r="U31" s="70">
        <f ca="1">T31-AA31-D31-AI31*COS(theta)</f>
        <v>-3.2579108138052759</v>
      </c>
      <c r="V31" s="70"/>
      <c r="W31" s="70"/>
      <c r="X31" s="67">
        <v>3</v>
      </c>
      <c r="Y31" s="66">
        <f t="shared" si="132"/>
        <v>3.2323523806378152</v>
      </c>
      <c r="Z31" s="70">
        <v>0</v>
      </c>
      <c r="AA31" s="6">
        <f t="shared" si="133"/>
        <v>3.1676476193621852</v>
      </c>
      <c r="AB31" s="66">
        <f t="shared" ca="1" si="134"/>
        <v>2.5623844249190939</v>
      </c>
      <c r="AC31" s="71">
        <v>0.97641702112888917</v>
      </c>
      <c r="AD31" s="66">
        <f t="shared" ca="1" si="135"/>
        <v>12.537126639151099</v>
      </c>
      <c r="AE31" s="66">
        <f t="shared" ca="1" si="136"/>
        <v>2.5623844249190939</v>
      </c>
      <c r="AF31" s="70">
        <f t="shared" ca="1" si="137"/>
        <v>12.839930447603464</v>
      </c>
      <c r="AG31" s="72" cm="1">
        <f t="array" aca="1" ref="AG31" ca="1">IFERROR(10^INTERCEPT(LOG(AF31:AF35),LOG(Q31:Q35)),30)</f>
        <v>27.530070367625314</v>
      </c>
      <c r="AH31" s="73" cm="1">
        <f t="array" aca="1" ref="AH31" ca="1">IFERROR(SLOPE(LOG(AF31:AF35),LOG(Q31:Q35)),0.1)</f>
        <v>0.12418479722720346</v>
      </c>
      <c r="AI31" s="11">
        <f t="shared" ca="1" si="139"/>
        <v>8.2887518134472454E-2</v>
      </c>
      <c r="AJ31" s="11">
        <f t="shared" ca="1" si="140"/>
        <v>0.99465021761366945</v>
      </c>
      <c r="AK31" s="70" t="e">
        <f ca="1">AJ31/J31</f>
        <v>#DIV/0!</v>
      </c>
      <c r="AL31" s="70">
        <f ca="1">K31/AJ31</f>
        <v>1.5080678347396821</v>
      </c>
      <c r="AM31" s="11">
        <f ca="1">I31/2/AI31</f>
        <v>17.974731271164217</v>
      </c>
      <c r="AN31" s="70">
        <f ca="1">AM31/SQRT(32.17*AI31*COS(theta))</f>
        <v>11.20006179309336</v>
      </c>
      <c r="AO31" s="70" t="e">
        <f>I31/2/SQRT(32.17*COS(theta)*(J31/12)^3)</f>
        <v>#DIV/0!</v>
      </c>
      <c r="AP31" s="70" t="e">
        <f ca="1">AM31/SQRT(32.17*COS(theta)*(J31/12))</f>
        <v>#DIV/0!</v>
      </c>
      <c r="AQ31" s="99" t="e">
        <f ca="1">SQRT(2*32.17*U31)/SQRT(32.17*COS(theta)*(K31/12))</f>
        <v>#NUM!</v>
      </c>
      <c r="AR31" s="11">
        <f ca="1">AM31^2/2/32.17</f>
        <v>5.0216189659709158</v>
      </c>
      <c r="AS31" s="11">
        <f>J31/12</f>
        <v>0</v>
      </c>
      <c r="AT31" s="11">
        <f ca="1">AG31*(J31*$AT$5/12)^(AH31)</f>
        <v>0</v>
      </c>
      <c r="AU31" s="11">
        <f ca="1">AT31^2/2/32.17</f>
        <v>0</v>
      </c>
      <c r="AV31" s="11">
        <f t="shared" ca="1" si="141"/>
        <v>12.851481751041028</v>
      </c>
      <c r="AW31" s="7">
        <f ca="1">J31/(AJ31-J31)</f>
        <v>0</v>
      </c>
      <c r="AX31" s="74">
        <f ca="1">K31/(AJ31-J31)</f>
        <v>1.5080678347396821</v>
      </c>
      <c r="AY31" s="75">
        <f ca="1">U31/AR31</f>
        <v>-0.64877698524769856</v>
      </c>
      <c r="AZ31" s="6" t="e">
        <f>K31/J31</f>
        <v>#DIV/0!</v>
      </c>
      <c r="BA31" s="10" t="e">
        <f ca="1">(SQRT(2*32.17*U31)/AG31)^(1/AH31)/(J31/12)</f>
        <v>#NUM!</v>
      </c>
      <c r="BB31" s="10" t="e">
        <f ca="1">(SQRT(2*32.17*U31)/AG31)^(1/AH31)/AI31</f>
        <v>#NUM!</v>
      </c>
      <c r="BC31" s="75" t="e">
        <f ca="1">(AY31-(1+$BB$60)*(0.8223*#REF!+0.5707+1)^-1)^2</f>
        <v>#REF!</v>
      </c>
      <c r="BD31" s="76" t="e">
        <f ca="1">304.8*(SQRT(2*32.17*U31)/AG31)^(1/AH31)</f>
        <v>#NUM!</v>
      </c>
      <c r="BE31" s="77" t="e">
        <f ca="1">AG31*(J31*$BE$5/12)^(AH31)*(AND($BE$5&gt;0,$BE$5&lt;&gt;2))+AM31*($BE$5=0)+SQRT(2*32.17*U31)*($BE$5=2)</f>
        <v>#NUM!</v>
      </c>
      <c r="BF31" s="78" t="e">
        <f ca="1">BE31*4*AI31/viscosity</f>
        <v>#NUM!</v>
      </c>
      <c r="BG31" s="78" t="e">
        <f ca="1">BE31*J31/12/viscosity</f>
        <v>#NUM!</v>
      </c>
      <c r="BH31" s="77">
        <f ca="1">IFERROR((2*LOG10(2/($BH$5/AI31))+1.74-2*LOG10(1+18.7*2/($BH$5/AI31)/(BF31*BH31^0.5)))^-2,0.02)</f>
        <v>0.02</v>
      </c>
      <c r="BI31" s="74">
        <f ca="1">IF(ISBLANK(AI31),#REF!,AI31)</f>
        <v>8.2887518134472454E-2</v>
      </c>
      <c r="BJ31" s="74">
        <f ca="1">IF('Depth profiles'!Q31=0,NA(),'Depth profiles'!Q31)/BI31</f>
        <v>2.6139842468821152E-2</v>
      </c>
      <c r="BK31" s="74">
        <f ca="1">IF(ISBLANK('Depth profiles'!AM31),BK690,'Depth profiles'!AM31)</f>
        <v>17.974731271164217</v>
      </c>
      <c r="BL31" s="74">
        <f ca="1">IF('Depth profiles'!AF31=0,NA(),'Depth profiles'!AF31)/'Depth profiles'!BK31</f>
        <v>0.71433226199057531</v>
      </c>
      <c r="BM31" s="74">
        <f t="shared" ca="1" si="142"/>
        <v>0.83074591364236461</v>
      </c>
      <c r="BN31" s="74">
        <f t="shared" ca="1" si="143"/>
        <v>5.2129036434409935E-2</v>
      </c>
      <c r="BO31" s="74">
        <f t="shared" ca="1" si="144"/>
        <v>0</v>
      </c>
      <c r="BP31" s="74">
        <f ca="1">(1+AH31)^3/(1+3*AH31)</f>
        <v>1.0351029823777462</v>
      </c>
      <c r="BQ31" s="74" t="e">
        <f ca="1">($BQ$7/AK31)^(3*AH31)*(1+AH31)^3/(1+3*AH31)</f>
        <v>#DIV/0!</v>
      </c>
      <c r="BR31" s="74" t="e">
        <f ca="1">(U31/(BQ31*AR31))*(1+$BR$3*AZ31)</f>
        <v>#DIV/0!</v>
      </c>
      <c r="BS31" s="95"/>
      <c r="BT31" s="70"/>
      <c r="BU31" s="95"/>
      <c r="BW31" s="66"/>
      <c r="BX31" s="66"/>
      <c r="BY31" s="66"/>
      <c r="BZ31" s="66"/>
      <c r="CA31" s="66"/>
      <c r="CB31" s="68"/>
      <c r="CC31" s="66"/>
      <c r="CD31" s="70"/>
      <c r="CE31" s="70"/>
      <c r="CF31" s="96"/>
      <c r="CG31" s="70"/>
      <c r="CH31" s="70"/>
      <c r="CI31" s="11"/>
      <c r="CJ31" s="70"/>
      <c r="CK31" s="70"/>
      <c r="CR31" t="s">
        <v>183</v>
      </c>
      <c r="CS31" s="68">
        <v>0</v>
      </c>
      <c r="CT31" s="68">
        <v>0</v>
      </c>
      <c r="DA31" s="46"/>
      <c r="DD31" s="18"/>
      <c r="DE31" s="18"/>
    </row>
    <row r="32" spans="1:109">
      <c r="B32" s="63">
        <f t="shared" ref="B32:C32" si="146">B31</f>
        <v>45058</v>
      </c>
      <c r="C32" s="64">
        <f t="shared" si="146"/>
        <v>0.37222222222222223</v>
      </c>
      <c r="D32">
        <v>1.0200000000000001E-2</v>
      </c>
      <c r="E32" t="s">
        <v>185</v>
      </c>
      <c r="F32" s="1" t="str">
        <f t="shared" ref="F32:H32" si="147">F31</f>
        <v>NE 6"</v>
      </c>
      <c r="G32">
        <f t="shared" si="147"/>
        <v>8.1960000000000005E-2</v>
      </c>
      <c r="H32">
        <f t="shared" si="147"/>
        <v>1321.78</v>
      </c>
      <c r="I32" s="66">
        <f>I31</f>
        <v>2.9797617284017863</v>
      </c>
      <c r="J32">
        <f t="shared" ref="J32:L32" si="148">J31</f>
        <v>0</v>
      </c>
      <c r="K32">
        <f t="shared" si="148"/>
        <v>1.5</v>
      </c>
      <c r="L32" s="67" t="e">
        <f t="shared" si="148"/>
        <v>#N/A</v>
      </c>
      <c r="N32" s="17"/>
      <c r="O32" s="68">
        <v>40.5</v>
      </c>
      <c r="P32" s="79" cm="1">
        <f t="array" aca="1" ref="P32" ca="1">INDIRECT("P"&amp;ROW(O32)-1)+(O32-INDIRECT("O"&amp;ROW(O32)-1))*10/25.4</f>
        <v>4.5685039370077618E-2</v>
      </c>
      <c r="Q32" s="69">
        <f t="shared" ca="1" si="131"/>
        <v>3.807086614173135E-3</v>
      </c>
      <c r="R32" s="18"/>
      <c r="S32" s="95">
        <f>offset+0.32</f>
        <v>6.2700000000000005</v>
      </c>
      <c r="T32" s="65"/>
      <c r="U32" s="70">
        <f t="shared" ca="1" si="17"/>
        <v>-3.2579108138052759</v>
      </c>
      <c r="V32" s="70"/>
      <c r="W32" s="70"/>
      <c r="X32" s="67">
        <f>X31</f>
        <v>3</v>
      </c>
      <c r="Y32" s="66">
        <f t="shared" si="132"/>
        <v>3.2323523806378152</v>
      </c>
      <c r="Z32" s="70">
        <v>0</v>
      </c>
      <c r="AA32" s="6">
        <f t="shared" si="133"/>
        <v>3.1676476193621852</v>
      </c>
      <c r="AB32" s="66">
        <f t="shared" ca="1" si="134"/>
        <v>2.9473844249190946</v>
      </c>
      <c r="AC32" s="71">
        <v>0.97641702112888917</v>
      </c>
      <c r="AD32" s="66">
        <f t="shared" ca="1" si="135"/>
        <v>13.446035759666945</v>
      </c>
      <c r="AE32" s="66">
        <f t="shared" ca="1" si="136"/>
        <v>2.9473844249190946</v>
      </c>
      <c r="AF32" s="70">
        <f t="shared" ca="1" si="137"/>
        <v>13.770792057804611</v>
      </c>
      <c r="AG32" s="70">
        <f t="shared" ref="AG32:AH32" ca="1" si="149">AG31</f>
        <v>27.530070367625314</v>
      </c>
      <c r="AH32" s="69">
        <f t="shared" ca="1" si="149"/>
        <v>0.12418479722720346</v>
      </c>
      <c r="AI32">
        <f t="shared" ca="1" si="139"/>
        <v>8.2887518134472454E-2</v>
      </c>
      <c r="AJ32">
        <f t="shared" ca="1" si="140"/>
        <v>0.99465021761366945</v>
      </c>
      <c r="AK32" s="18"/>
      <c r="AL32" s="18"/>
      <c r="AR32" s="11">
        <f ca="1">AR31</f>
        <v>5.0216189659709158</v>
      </c>
      <c r="AS32">
        <f>AS31</f>
        <v>0</v>
      </c>
      <c r="AT32">
        <f ca="1">AM31</f>
        <v>17.974731271164217</v>
      </c>
      <c r="AU32" s="11">
        <f t="shared" ca="1" si="21"/>
        <v>0</v>
      </c>
      <c r="AV32" s="11">
        <f t="shared" ca="1" si="141"/>
        <v>13.783316337073085</v>
      </c>
      <c r="AW32" s="7"/>
      <c r="AX32" s="7"/>
      <c r="AZ32" s="18"/>
      <c r="BI32" s="7">
        <f t="shared" ref="BI32:BI35" ca="1" si="150">IF(ISBLANK(AI32),BI31,AI32)</f>
        <v>8.2887518134472454E-2</v>
      </c>
      <c r="BJ32" s="7">
        <f ca="1">IF('Depth profiles'!Q32=0,NA(),'Depth profiles'!Q32)/BI32</f>
        <v>4.5930758935220056E-2</v>
      </c>
      <c r="BK32" s="7">
        <f ca="1">IF(ISBLANK('Depth profiles'!AM32),BK31,'Depth profiles'!AM32)</f>
        <v>17.974731271164217</v>
      </c>
      <c r="BL32" s="7">
        <f ca="1">IF('Depth profiles'!AF32=0,NA(),'Depth profiles'!AF32)/'Depth profiles'!BK32</f>
        <v>0.76611949575548133</v>
      </c>
      <c r="BM32" s="7">
        <f t="shared" ca="1" si="142"/>
        <v>0.83074591364236461</v>
      </c>
      <c r="BN32" s="7">
        <f t="shared" ca="1" si="143"/>
        <v>5.2129036434409935E-2</v>
      </c>
      <c r="BO32" s="7">
        <f t="shared" ca="1" si="144"/>
        <v>0</v>
      </c>
      <c r="BP32" s="7"/>
      <c r="BQ32" s="7"/>
      <c r="BR32" s="7"/>
      <c r="BS32" s="95"/>
      <c r="BT32" s="70"/>
      <c r="BU32" s="95"/>
      <c r="BW32" s="66"/>
      <c r="BX32" s="66"/>
      <c r="BY32" s="66"/>
      <c r="BZ32" s="66"/>
      <c r="CA32" s="66"/>
      <c r="CB32" s="68"/>
      <c r="CC32" s="66"/>
      <c r="CD32" s="70"/>
      <c r="CE32" s="70"/>
      <c r="CF32" s="96"/>
      <c r="CG32" s="70"/>
      <c r="CH32" s="70"/>
      <c r="CI32" s="11"/>
      <c r="CJ32" s="70"/>
      <c r="CK32" s="70"/>
      <c r="CR32" t="s">
        <v>183</v>
      </c>
      <c r="CS32" s="68">
        <v>0</v>
      </c>
      <c r="CT32" s="68">
        <v>0</v>
      </c>
      <c r="CZ32" s="46"/>
      <c r="DA32" s="46"/>
    </row>
    <row r="33" spans="1:109">
      <c r="B33" s="63">
        <f t="shared" ref="B33:C33" si="151">B32</f>
        <v>45058</v>
      </c>
      <c r="C33" s="64">
        <f t="shared" si="151"/>
        <v>0.37222222222222223</v>
      </c>
      <c r="D33">
        <v>1.0200000000000001E-2</v>
      </c>
      <c r="E33" t="s">
        <v>185</v>
      </c>
      <c r="F33" s="1" t="str">
        <f t="shared" ref="F33:L33" si="152">F32</f>
        <v>NE 6"</v>
      </c>
      <c r="G33">
        <f t="shared" si="152"/>
        <v>8.1960000000000005E-2</v>
      </c>
      <c r="H33">
        <f t="shared" si="152"/>
        <v>1321.78</v>
      </c>
      <c r="I33" s="66">
        <f t="shared" si="152"/>
        <v>2.9797617284017863</v>
      </c>
      <c r="J33">
        <f t="shared" si="152"/>
        <v>0</v>
      </c>
      <c r="K33">
        <f t="shared" si="152"/>
        <v>1.5</v>
      </c>
      <c r="L33" s="67" t="e">
        <f t="shared" si="152"/>
        <v>#N/A</v>
      </c>
      <c r="N33" s="17"/>
      <c r="O33" s="68">
        <v>40.65</v>
      </c>
      <c r="P33" s="69" cm="1">
        <f t="array" aca="1" ref="P33" ca="1">INDIRECT("P"&amp;ROW(O33)-1)+(O33-INDIRECT("O"&amp;ROW(O33)-1))*10/25.4</f>
        <v>0.10474015748031329</v>
      </c>
      <c r="Q33" s="69">
        <f t="shared" ca="1" si="131"/>
        <v>8.7283464566927736E-3</v>
      </c>
      <c r="R33" s="18"/>
      <c r="S33" s="95">
        <f>offset+1.03</f>
        <v>6.98</v>
      </c>
      <c r="T33" s="65"/>
      <c r="U33" s="70">
        <f t="shared" ca="1" si="17"/>
        <v>-3.2579108138052759</v>
      </c>
      <c r="V33" s="70"/>
      <c r="W33" s="70"/>
      <c r="X33" s="67">
        <f t="shared" ref="X33:X35" si="153">X32</f>
        <v>3</v>
      </c>
      <c r="Y33" s="66">
        <f t="shared" si="132"/>
        <v>3.2323523806378152</v>
      </c>
      <c r="Z33" s="70">
        <v>0</v>
      </c>
      <c r="AA33" s="6">
        <f t="shared" si="133"/>
        <v>3.1676476193621852</v>
      </c>
      <c r="AB33" s="66">
        <f t="shared" ca="1" si="134"/>
        <v>3.6573844249190945</v>
      </c>
      <c r="AC33" s="71">
        <v>0.97641702112888917</v>
      </c>
      <c r="AD33" s="66">
        <f t="shared" ca="1" si="135"/>
        <v>14.978253459389141</v>
      </c>
      <c r="AE33" s="66">
        <f t="shared" ca="1" si="136"/>
        <v>3.6573844249190945</v>
      </c>
      <c r="AF33" s="70">
        <f t="shared" ca="1" si="137"/>
        <v>15.340016750293806</v>
      </c>
      <c r="AG33" s="70">
        <f t="shared" ref="AG33:AH33" ca="1" si="154">AG32</f>
        <v>27.530070367625314</v>
      </c>
      <c r="AH33" s="69">
        <f t="shared" ca="1" si="154"/>
        <v>0.12418479722720346</v>
      </c>
      <c r="AI33">
        <f t="shared" ca="1" si="139"/>
        <v>8.2887518134472454E-2</v>
      </c>
      <c r="AJ33">
        <f t="shared" ca="1" si="140"/>
        <v>0.99465021761366945</v>
      </c>
      <c r="AK33" s="18"/>
      <c r="AL33" s="18"/>
      <c r="AR33" s="11">
        <f t="shared" ref="AR33:AR35" ca="1" si="155">AR32</f>
        <v>5.0216189659709158</v>
      </c>
      <c r="AS33">
        <f>AS31</f>
        <v>0</v>
      </c>
      <c r="AT33">
        <f ca="1">AT31</f>
        <v>0</v>
      </c>
      <c r="AU33" s="11">
        <f t="shared" ca="1" si="21"/>
        <v>0</v>
      </c>
      <c r="AV33" s="11">
        <f t="shared" ca="1" si="141"/>
        <v>15.279261947076265</v>
      </c>
      <c r="AW33" s="7"/>
      <c r="AX33" s="7"/>
      <c r="AZ33" s="18"/>
      <c r="BI33" s="7">
        <f t="shared" ca="1" si="150"/>
        <v>8.2887518134472454E-2</v>
      </c>
      <c r="BJ33" s="7">
        <f ca="1">IF('Depth profiles'!Q33=0,NA(),'Depth profiles'!Q33)/BI33</f>
        <v>0.10530350833441958</v>
      </c>
      <c r="BK33" s="7">
        <f ca="1">IF(ISBLANK('Depth profiles'!AM33),BK32,'Depth profiles'!AM33)</f>
        <v>17.974731271164217</v>
      </c>
      <c r="BL33" s="7">
        <f ca="1">IF('Depth profiles'!AF33=0,NA(),'Depth profiles'!AF33)/'Depth profiles'!BK33</f>
        <v>0.85342120106701536</v>
      </c>
      <c r="BM33" s="7">
        <f t="shared" ca="1" si="142"/>
        <v>0.83074591364236461</v>
      </c>
      <c r="BN33" s="7">
        <f t="shared" ca="1" si="143"/>
        <v>5.2129036434409935E-2</v>
      </c>
      <c r="BO33" s="7">
        <f t="shared" ca="1" si="144"/>
        <v>0</v>
      </c>
      <c r="BP33" s="7"/>
      <c r="BQ33" s="7"/>
      <c r="BR33" s="7"/>
      <c r="BS33" s="95"/>
      <c r="BT33" s="70"/>
      <c r="BU33" s="95"/>
      <c r="BW33" s="66"/>
      <c r="BX33" s="66"/>
      <c r="BY33" s="66"/>
      <c r="BZ33" s="66"/>
      <c r="CA33" s="66"/>
      <c r="CB33" s="68"/>
      <c r="CC33" s="66"/>
      <c r="CD33" s="70"/>
      <c r="CE33" s="70"/>
      <c r="CF33" s="96"/>
      <c r="CG33" s="70"/>
      <c r="CH33" s="70"/>
      <c r="CI33" s="11"/>
      <c r="CJ33" s="70"/>
      <c r="CK33" s="70"/>
      <c r="CR33" t="s">
        <v>183</v>
      </c>
      <c r="CS33" s="68">
        <v>0</v>
      </c>
      <c r="CT33" s="68">
        <v>0</v>
      </c>
      <c r="CZ33" s="46"/>
      <c r="DA33" s="46"/>
    </row>
    <row r="34" spans="1:109">
      <c r="B34" s="63">
        <f t="shared" ref="B34:C34" si="156">B33</f>
        <v>45058</v>
      </c>
      <c r="C34" s="64">
        <f t="shared" si="156"/>
        <v>0.37222222222222223</v>
      </c>
      <c r="D34">
        <v>1.0200000000000001E-2</v>
      </c>
      <c r="E34" t="s">
        <v>185</v>
      </c>
      <c r="F34" s="1" t="str">
        <f t="shared" ref="F34:L34" si="157">F33</f>
        <v>NE 6"</v>
      </c>
      <c r="G34">
        <f t="shared" si="157"/>
        <v>8.1960000000000005E-2</v>
      </c>
      <c r="H34">
        <f t="shared" si="157"/>
        <v>1321.78</v>
      </c>
      <c r="I34" s="66">
        <f t="shared" si="157"/>
        <v>2.9797617284017863</v>
      </c>
      <c r="J34">
        <f t="shared" si="157"/>
        <v>0</v>
      </c>
      <c r="K34">
        <f t="shared" si="157"/>
        <v>1.5</v>
      </c>
      <c r="L34" s="67" t="e">
        <f t="shared" si="157"/>
        <v>#N/A</v>
      </c>
      <c r="N34" s="17"/>
      <c r="O34" s="68">
        <v>41</v>
      </c>
      <c r="P34" s="69" cm="1">
        <f t="array" aca="1" ref="P34" ca="1">INDIRECT("P"&amp;ROW(O34)-1)+(O34-INDIRECT("O"&amp;ROW(O34)-1))*10/25.4</f>
        <v>0.24253543307086503</v>
      </c>
      <c r="Q34" s="69">
        <f t="shared" ca="1" si="131"/>
        <v>2.0211286089238754E-2</v>
      </c>
      <c r="R34" s="18"/>
      <c r="S34" s="95">
        <f>offset+1.825</f>
        <v>7.7750000000000004</v>
      </c>
      <c r="T34" s="65"/>
      <c r="U34" s="70">
        <f t="shared" ca="1" si="17"/>
        <v>-3.2579108138052759</v>
      </c>
      <c r="V34" s="70"/>
      <c r="W34" s="70"/>
      <c r="X34" s="67">
        <f t="shared" si="153"/>
        <v>3</v>
      </c>
      <c r="Y34" s="66">
        <f t="shared" si="132"/>
        <v>3.2323523806378152</v>
      </c>
      <c r="Z34" s="70">
        <v>0</v>
      </c>
      <c r="AA34" s="6">
        <f t="shared" si="133"/>
        <v>3.1676476193621852</v>
      </c>
      <c r="AB34" s="66">
        <f t="shared" ca="1" si="134"/>
        <v>4.452384424919094</v>
      </c>
      <c r="AC34" s="71">
        <v>0.97641702112888917</v>
      </c>
      <c r="AD34" s="66">
        <f t="shared" ca="1" si="135"/>
        <v>16.526169289865571</v>
      </c>
      <c r="AE34" s="66">
        <f t="shared" ca="1" si="136"/>
        <v>4.452384424919094</v>
      </c>
      <c r="AF34" s="70">
        <f t="shared" ca="1" si="137"/>
        <v>16.92531872371373</v>
      </c>
      <c r="AG34" s="70">
        <f t="shared" ref="AG34:AH34" ca="1" si="158">AG33</f>
        <v>27.530070367625314</v>
      </c>
      <c r="AH34" s="69">
        <f t="shared" ca="1" si="158"/>
        <v>0.12418479722720346</v>
      </c>
      <c r="AI34">
        <f t="shared" ca="1" si="139"/>
        <v>8.2887518134472454E-2</v>
      </c>
      <c r="AJ34">
        <f t="shared" ca="1" si="140"/>
        <v>0.99465021761366945</v>
      </c>
      <c r="AK34" s="18"/>
      <c r="AL34" s="18"/>
      <c r="AR34" s="11">
        <f t="shared" ca="1" si="155"/>
        <v>5.0216189659709158</v>
      </c>
      <c r="AS34">
        <v>0</v>
      </c>
      <c r="AT34">
        <f ca="1">AT31</f>
        <v>0</v>
      </c>
      <c r="AU34" s="11">
        <f t="shared" ca="1" si="21"/>
        <v>0</v>
      </c>
      <c r="AV34" s="11">
        <f t="shared" ca="1" si="141"/>
        <v>16.95851616296563</v>
      </c>
      <c r="AW34" s="7"/>
      <c r="AX34" s="7"/>
      <c r="AZ34" s="18"/>
      <c r="BI34" s="7">
        <f t="shared" ca="1" si="150"/>
        <v>8.2887518134472454E-2</v>
      </c>
      <c r="BJ34" s="7">
        <f ca="1">IF('Depth profiles'!Q34=0,NA(),'Depth profiles'!Q34)/BI34</f>
        <v>0.24383992359922035</v>
      </c>
      <c r="BK34" s="7">
        <f ca="1">IF(ISBLANK('Depth profiles'!AM34),BK33,'Depth profiles'!AM34)</f>
        <v>17.974731271164217</v>
      </c>
      <c r="BL34" s="7">
        <f ca="1">IF('Depth profiles'!AF34=0,NA(),'Depth profiles'!AF34)/'Depth profiles'!BK34</f>
        <v>0.94161734428074617</v>
      </c>
      <c r="BM34" s="7">
        <f t="shared" ca="1" si="142"/>
        <v>0.83074591364236461</v>
      </c>
      <c r="BN34" s="7">
        <f t="shared" ca="1" si="143"/>
        <v>5.2129036434409935E-2</v>
      </c>
      <c r="BO34" s="7">
        <f t="shared" ca="1" si="144"/>
        <v>0</v>
      </c>
      <c r="BP34" s="7"/>
      <c r="BQ34" s="7"/>
      <c r="BR34" s="7"/>
      <c r="BS34" s="95"/>
      <c r="BT34" s="70"/>
      <c r="BU34" s="95"/>
      <c r="BW34" s="66"/>
      <c r="BX34" s="66"/>
      <c r="BY34" s="66"/>
      <c r="BZ34" s="66"/>
      <c r="CA34" s="66"/>
      <c r="CB34" s="68"/>
      <c r="CC34" s="66"/>
      <c r="CD34" s="70"/>
      <c r="CE34" s="70"/>
      <c r="CF34" s="96"/>
      <c r="CG34" s="70"/>
      <c r="CH34" s="70"/>
      <c r="CI34" s="11"/>
      <c r="CJ34" s="70"/>
      <c r="CK34" s="70"/>
      <c r="CR34" t="s">
        <v>183</v>
      </c>
      <c r="CS34" s="68">
        <v>0</v>
      </c>
      <c r="CT34" s="68">
        <v>0</v>
      </c>
      <c r="CZ34" s="46"/>
      <c r="DA34" s="46"/>
    </row>
    <row r="35" spans="1:109">
      <c r="B35" s="80">
        <f t="shared" ref="B35:C35" si="159">B34</f>
        <v>45058</v>
      </c>
      <c r="C35" s="81">
        <f t="shared" si="159"/>
        <v>0.37222222222222223</v>
      </c>
      <c r="D35" s="4">
        <v>1.0200000000000001E-2</v>
      </c>
      <c r="E35" s="4" t="s">
        <v>185</v>
      </c>
      <c r="F35" s="82" t="str">
        <f t="shared" ref="F35:L35" si="160">F34</f>
        <v>NE 6"</v>
      </c>
      <c r="G35" s="4">
        <f t="shared" si="160"/>
        <v>8.1960000000000005E-2</v>
      </c>
      <c r="H35" s="4">
        <f t="shared" si="160"/>
        <v>1321.78</v>
      </c>
      <c r="I35" s="83">
        <f t="shared" si="160"/>
        <v>2.9797617284017863</v>
      </c>
      <c r="J35" s="4">
        <f t="shared" si="160"/>
        <v>0</v>
      </c>
      <c r="K35" s="4">
        <f t="shared" si="160"/>
        <v>1.5</v>
      </c>
      <c r="L35" s="84" t="e">
        <f t="shared" si="160"/>
        <v>#N/A</v>
      </c>
      <c r="M35" s="4"/>
      <c r="N35" s="85"/>
      <c r="O35" s="86">
        <v>42</v>
      </c>
      <c r="P35" s="87" cm="1">
        <f t="array" aca="1" ref="P35" ca="1">INDIRECT("P"&amp;ROW(O35)-1)+(O35-INDIRECT("O"&amp;ROW(O35)-1))*10/25.4</f>
        <v>0.63623622047243988</v>
      </c>
      <c r="Q35" s="87">
        <f t="shared" ref="Q35:Q39" ca="1" si="161">P35/12</f>
        <v>5.301968503936999E-2</v>
      </c>
      <c r="R35" s="88"/>
      <c r="S35" s="97">
        <f>offset+3.05</f>
        <v>9</v>
      </c>
      <c r="T35" s="89"/>
      <c r="U35" s="90">
        <f t="shared" ca="1" si="17"/>
        <v>-3.2579108138052759</v>
      </c>
      <c r="V35" s="90"/>
      <c r="W35" s="90"/>
      <c r="X35" s="84">
        <f t="shared" si="153"/>
        <v>3</v>
      </c>
      <c r="Y35" s="83">
        <f t="shared" ref="Y35:Y39" si="162">$G$4+R35+SIN(theta)*(X35-K35/COS(RADIANS(CT35))/COS(RADIANS(CS35)))/12</f>
        <v>3.2323523806378152</v>
      </c>
      <c r="Z35" s="90">
        <v>0</v>
      </c>
      <c r="AA35" s="91">
        <f t="shared" ref="AA35:AA39" si="163">$G$4-((Z35+K35/COS(RADIANS(CS35))/COS(RADIANS(CT35)))/12)*SIN(theta)</f>
        <v>3.1676476193621852</v>
      </c>
      <c r="AB35" s="83">
        <f t="shared" ref="AB35:AB39" ca="1" si="164">S35-D35-(Y35+AI35*COS(theta))</f>
        <v>5.6773844249190955</v>
      </c>
      <c r="AC35" s="92">
        <v>0.97641702112888917</v>
      </c>
      <c r="AD35" s="83">
        <f t="shared" ref="AD35:AD39" ca="1" si="165">SQRT(2*32.17*AB35)*AC35*$AD$2</f>
        <v>18.661649177621438</v>
      </c>
      <c r="AE35" s="83">
        <f t="shared" ref="AE35:AE39" ca="1" si="166">AB35*$AD$2^2</f>
        <v>5.6773844249190955</v>
      </c>
      <c r="AF35" s="90">
        <f t="shared" ref="AF35:AF39" ca="1" si="167">SQRT(2*32.17*AE35)</f>
        <v>19.1123759354847</v>
      </c>
      <c r="AG35" s="90">
        <f t="shared" ref="AG35:AH35" ca="1" si="168">AG34</f>
        <v>27.530070367625314</v>
      </c>
      <c r="AH35" s="87">
        <f t="shared" ca="1" si="168"/>
        <v>0.12418479722720346</v>
      </c>
      <c r="AI35" s="4">
        <f t="shared" ref="AI35:AI39" ca="1" si="169">((I35/2)*(1+AH35)/AG35)^(1/(1+AH35))</f>
        <v>8.2887518134472454E-2</v>
      </c>
      <c r="AJ35" s="4">
        <f t="shared" ref="AJ35:AJ39" ca="1" si="170">AI35*12</f>
        <v>0.99465021761366945</v>
      </c>
      <c r="AK35" s="88"/>
      <c r="AL35" s="88"/>
      <c r="AM35" s="4"/>
      <c r="AN35" s="4"/>
      <c r="AO35" s="4"/>
      <c r="AP35" s="4"/>
      <c r="AQ35" s="4"/>
      <c r="AR35" s="93">
        <f t="shared" ca="1" si="155"/>
        <v>5.0216189659709158</v>
      </c>
      <c r="AS35" s="93">
        <v>0</v>
      </c>
      <c r="AT35" s="93">
        <f ca="1">AT32</f>
        <v>17.974731271164217</v>
      </c>
      <c r="AU35" s="93">
        <f t="shared" ca="1" si="21"/>
        <v>0</v>
      </c>
      <c r="AV35" s="93">
        <f t="shared" ref="AV35:AV39" ca="1" si="171">AG35*Q35^AH35</f>
        <v>19.116210615672628</v>
      </c>
      <c r="AW35" s="94"/>
      <c r="AX35" s="94"/>
      <c r="AY35" s="4"/>
      <c r="AZ35" s="88"/>
      <c r="BA35" s="4"/>
      <c r="BB35" s="4"/>
      <c r="BC35" s="4"/>
      <c r="BD35" s="4"/>
      <c r="BE35" s="4"/>
      <c r="BF35" s="4"/>
      <c r="BG35" s="4"/>
      <c r="BH35" s="4"/>
      <c r="BI35" s="94">
        <f t="shared" ca="1" si="150"/>
        <v>8.2887518134472454E-2</v>
      </c>
      <c r="BJ35" s="94">
        <f ca="1">IF('Depth profiles'!Q35=0,NA(),'Depth profiles'!Q35)/BI35</f>
        <v>0.63965825292722089</v>
      </c>
      <c r="BK35" s="94">
        <f ca="1">IF(ISBLANK('Depth profiles'!AM35),BK34,'Depth profiles'!AM35)</f>
        <v>17.974731271164217</v>
      </c>
      <c r="BL35" s="94">
        <f ca="1">IF('Depth profiles'!AF35=0,NA(),'Depth profiles'!AF35)/'Depth profiles'!BK35</f>
        <v>1.0632913308776715</v>
      </c>
      <c r="BM35" s="94">
        <f t="shared" ref="BM35:BM39" ca="1" si="172">SQRT(32.17*BI35*SIN(theta))</f>
        <v>0.83074591364236461</v>
      </c>
      <c r="BN35" s="94">
        <f t="shared" ref="BN35:BN39" ca="1" si="173">25.4*12*11.84*viscosity/BM35</f>
        <v>5.2129036434409935E-2</v>
      </c>
      <c r="BO35" s="94">
        <f t="shared" ref="BO35:BO39" ca="1" si="174">(J35/12)*BM35/viscosity</f>
        <v>0</v>
      </c>
      <c r="BP35" s="94"/>
      <c r="BQ35" s="94"/>
      <c r="BR35" s="94"/>
      <c r="BS35" s="97"/>
      <c r="BT35" s="90"/>
      <c r="BU35" s="97"/>
      <c r="BV35" s="4"/>
      <c r="BW35" s="83"/>
      <c r="BX35" s="83"/>
      <c r="BY35" s="83"/>
      <c r="BZ35" s="83"/>
      <c r="CA35" s="83"/>
      <c r="CB35" s="86"/>
      <c r="CC35" s="83"/>
      <c r="CD35" s="90"/>
      <c r="CE35" s="90"/>
      <c r="CF35" s="98"/>
      <c r="CG35" s="90"/>
      <c r="CH35" s="90"/>
      <c r="CI35" s="93"/>
      <c r="CJ35" s="90"/>
      <c r="CK35" s="90"/>
      <c r="CL35" s="4"/>
      <c r="CM35" s="4"/>
      <c r="CN35" s="4"/>
      <c r="CO35" s="4"/>
      <c r="CP35" s="4"/>
      <c r="CQ35" s="4"/>
      <c r="CR35" s="4" t="s">
        <v>183</v>
      </c>
      <c r="CS35" s="86">
        <v>0</v>
      </c>
      <c r="CT35" s="86">
        <v>0</v>
      </c>
      <c r="CZ35" s="46"/>
      <c r="DA35" s="46"/>
    </row>
    <row r="36" spans="1:109">
      <c r="A36" s="1" t="s">
        <v>186</v>
      </c>
      <c r="B36" s="63">
        <v>45126</v>
      </c>
      <c r="C36" s="64">
        <v>0.64583333333333337</v>
      </c>
      <c r="D36">
        <v>1.0200000000000001E-2</v>
      </c>
      <c r="E36" t="s">
        <v>185</v>
      </c>
      <c r="F36" s="1" t="s">
        <v>204</v>
      </c>
      <c r="G36">
        <v>7.3646000000000003</v>
      </c>
      <c r="H36" s="68">
        <v>1.6035999999999999</v>
      </c>
      <c r="I36" s="66">
        <f t="shared" ref="I36" si="175">G36*H36^0.5*1</f>
        <v>9.3260381435728643</v>
      </c>
      <c r="J36">
        <v>0</v>
      </c>
      <c r="K36">
        <v>1.5</v>
      </c>
      <c r="L36" s="67" t="e">
        <f>NA()</f>
        <v>#N/A</v>
      </c>
      <c r="M36">
        <f>O36-(P36-0.052/2)*2.54</f>
        <v>40.498120399999998</v>
      </c>
      <c r="N36" s="100" cm="1">
        <f t="array" aca="1" ref="N36" ca="1">CORREL(LOG(AD36:AD40),LOG(P36:P40))</f>
        <v>0.99999805511322948</v>
      </c>
      <c r="O36" s="68">
        <v>40.5</v>
      </c>
      <c r="P36" s="6">
        <f>0.052/2+0.00074</f>
        <v>2.674E-2</v>
      </c>
      <c r="Q36" s="69">
        <f t="shared" si="161"/>
        <v>2.2283333333333335E-3</v>
      </c>
      <c r="R36" s="18"/>
      <c r="S36" s="95">
        <f>offset+1.02</f>
        <v>6.9700000000000006</v>
      </c>
      <c r="T36" s="95">
        <v>0</v>
      </c>
      <c r="U36" s="70">
        <f ca="1">T36-AA36-D36-AI36*COS(theta)</f>
        <v>-3.377284969348862</v>
      </c>
      <c r="V36" s="70"/>
      <c r="W36" s="70"/>
      <c r="X36" s="67">
        <v>3</v>
      </c>
      <c r="Y36" s="66">
        <f t="shared" si="162"/>
        <v>3.2323523806378152</v>
      </c>
      <c r="Z36" s="70">
        <v>0</v>
      </c>
      <c r="AA36" s="6">
        <f t="shared" si="163"/>
        <v>3.1676476193621852</v>
      </c>
      <c r="AB36" s="66">
        <f t="shared" ca="1" si="164"/>
        <v>3.5280102693755087</v>
      </c>
      <c r="AC36" s="71">
        <v>0.97641702112888917</v>
      </c>
      <c r="AD36" s="66">
        <f t="shared" ca="1" si="165"/>
        <v>14.710952395860055</v>
      </c>
      <c r="AE36" s="66">
        <f t="shared" ca="1" si="166"/>
        <v>3.5280102693755087</v>
      </c>
      <c r="AF36" s="70">
        <f t="shared" ca="1" si="167"/>
        <v>15.066259679549541</v>
      </c>
      <c r="AG36" s="72" cm="1">
        <f t="array" aca="1" ref="AG36" ca="1">IFERROR(10^INTERCEPT(LOG(AF36:AF40),LOG(Q36:Q40)),30)</f>
        <v>30.043690241327834</v>
      </c>
      <c r="AH36" s="73" cm="1">
        <f t="array" aca="1" ref="AH36" ca="1">IFERROR(SLOPE(LOG(AF36:AF40),LOG(Q36:Q40)),0.1)</f>
        <v>0.11303080284757576</v>
      </c>
      <c r="AI36" s="11">
        <f t="shared" ca="1" si="169"/>
        <v>0.2064727379253154</v>
      </c>
      <c r="AJ36" s="11">
        <f t="shared" ca="1" si="170"/>
        <v>2.4776728551037848</v>
      </c>
      <c r="AK36" s="70" t="e">
        <f ca="1">AJ36/J36</f>
        <v>#DIV/0!</v>
      </c>
      <c r="AL36" s="70">
        <f ca="1">K36/AJ36</f>
        <v>0.60540680215716691</v>
      </c>
      <c r="AM36" s="11">
        <f ca="1">I36/2/AI36</f>
        <v>22.58418771718484</v>
      </c>
      <c r="AN36" s="70">
        <f ca="1">AM36/SQRT(32.17*AI36*COS(theta))</f>
        <v>8.9161157329747969</v>
      </c>
      <c r="AO36" s="70" t="e">
        <f>I36/2/SQRT(32.17*COS(theta)*(J36/12)^3)</f>
        <v>#DIV/0!</v>
      </c>
      <c r="AP36" s="70" t="e">
        <f ca="1">AM36/SQRT(32.17*COS(theta)*(J36/12))</f>
        <v>#DIV/0!</v>
      </c>
      <c r="AQ36" s="99" t="e">
        <f ca="1">SQRT(2*32.17*U36)/SQRT(32.17*COS(theta)*(K36/12))</f>
        <v>#NUM!</v>
      </c>
      <c r="AR36" s="11">
        <f ca="1">AM36^2/2/32.17</f>
        <v>7.9273474486329274</v>
      </c>
      <c r="AS36" s="11">
        <f>J36/12</f>
        <v>0</v>
      </c>
      <c r="AT36" s="11">
        <f ca="1">AG36*(J36*$AT$5/12)^(AH36)</f>
        <v>0</v>
      </c>
      <c r="AU36" s="11">
        <f ca="1">AT36^2/2/32.17</f>
        <v>0</v>
      </c>
      <c r="AV36" s="11">
        <f t="shared" ca="1" si="171"/>
        <v>15.065839747082757</v>
      </c>
      <c r="AW36" s="7">
        <f ca="1">J36/(AJ36-J36)</f>
        <v>0</v>
      </c>
      <c r="AX36" s="74">
        <f ca="1">K36/(AJ36-J36)</f>
        <v>0.60540680215716691</v>
      </c>
      <c r="AY36" s="75">
        <f ca="1">U36/AR36</f>
        <v>-0.42602963869475352</v>
      </c>
      <c r="AZ36" s="6" t="e">
        <f>K36/J36</f>
        <v>#DIV/0!</v>
      </c>
      <c r="BA36" s="10" t="e">
        <f ca="1">(SQRT(2*32.17*U36)/AG36)^(1/AH36)/(J36/12)</f>
        <v>#NUM!</v>
      </c>
      <c r="BB36" s="10" t="e">
        <f ca="1">(SQRT(2*32.17*U36)/AG36)^(1/AH36)/AI36</f>
        <v>#NUM!</v>
      </c>
      <c r="BC36" s="75" t="e">
        <f ca="1">(AY36-(1+$BB$60)*(0.8223*#REF!+0.5707+1)^-1)^2</f>
        <v>#REF!</v>
      </c>
      <c r="BD36" s="76" t="e">
        <f ca="1">304.8*(SQRT(2*32.17*U36)/AG36)^(1/AH36)</f>
        <v>#NUM!</v>
      </c>
      <c r="BE36" s="77" t="e">
        <f ca="1">AG36*(J36*$BE$5/12)^(AH36)*(AND($BE$5&gt;0,$BE$5&lt;&gt;2))+AM36*($BE$5=0)+SQRT(2*32.17*U36)*($BE$5=2)</f>
        <v>#NUM!</v>
      </c>
      <c r="BF36" s="78" t="e">
        <f ca="1">BE36*4*AI36/viscosity</f>
        <v>#NUM!</v>
      </c>
      <c r="BG36" s="78" t="e">
        <f ca="1">BE36*J36/12/viscosity</f>
        <v>#NUM!</v>
      </c>
      <c r="BH36" s="77">
        <f ca="1">IFERROR((2*LOG10(2/($BH$5/AI36))+1.74-2*LOG10(1+18.7*2/($BH$5/AI36)/(BF36*BH36^0.5)))^-2,0.02)</f>
        <v>0.02</v>
      </c>
      <c r="BI36" s="74">
        <f ca="1">IF(ISBLANK(AI36),#REF!,AI36)</f>
        <v>0.2064727379253154</v>
      </c>
      <c r="BJ36" s="74">
        <f ca="1">IF('Depth profiles'!Q36=0,NA(),'Depth profiles'!Q36)/BI36</f>
        <v>1.079238525978843E-2</v>
      </c>
      <c r="BK36" s="74">
        <f ca="1">IF(ISBLANK('Depth profiles'!AM36),BK695,'Depth profiles'!AM36)</f>
        <v>22.58418771718484</v>
      </c>
      <c r="BL36" s="74">
        <f ca="1">IF('Depth profiles'!AF36=0,NA(),'Depth profiles'!AF36)/'Depth profiles'!BK36</f>
        <v>0.66711541137630859</v>
      </c>
      <c r="BM36" s="74">
        <f t="shared" ca="1" si="172"/>
        <v>1.311157924467103</v>
      </c>
      <c r="BN36" s="74">
        <f t="shared" ca="1" si="173"/>
        <v>3.3028808499632828E-2</v>
      </c>
      <c r="BO36" s="74">
        <f t="shared" ca="1" si="174"/>
        <v>0</v>
      </c>
      <c r="BP36" s="74">
        <f ca="1">(1+AH36)^3/(1+3*AH36)</f>
        <v>1.0297006869800303</v>
      </c>
      <c r="BQ36" s="74" t="e">
        <f ca="1">($BQ$7/AK36)^(3*AH36)*(1+AH36)^3/(1+3*AH36)</f>
        <v>#DIV/0!</v>
      </c>
      <c r="BR36" s="74" t="e">
        <f ca="1">(U36/(BQ36*AR36))*(1+$BR$3*AZ36)</f>
        <v>#DIV/0!</v>
      </c>
      <c r="BS36" s="95"/>
      <c r="BT36" s="70"/>
      <c r="BU36" s="95"/>
      <c r="BW36" s="66"/>
      <c r="BX36" s="66"/>
      <c r="BY36" s="66"/>
      <c r="BZ36" s="66"/>
      <c r="CA36" s="66"/>
      <c r="CB36" s="68"/>
      <c r="CC36" s="66"/>
      <c r="CD36" s="70"/>
      <c r="CE36" s="70"/>
      <c r="CF36" s="96"/>
      <c r="CG36" s="70"/>
      <c r="CH36" s="70"/>
      <c r="CI36" s="11"/>
      <c r="CJ36" s="70"/>
      <c r="CK36" s="70"/>
      <c r="CR36" t="s">
        <v>183</v>
      </c>
      <c r="CS36" s="68">
        <v>0</v>
      </c>
      <c r="CT36" s="68">
        <v>0</v>
      </c>
      <c r="DA36" s="46"/>
      <c r="DD36" s="18"/>
      <c r="DE36" s="18"/>
    </row>
    <row r="37" spans="1:109">
      <c r="B37" s="63">
        <f t="shared" ref="B37:C37" si="176">B36</f>
        <v>45126</v>
      </c>
      <c r="C37" s="64">
        <f t="shared" si="176"/>
        <v>0.64583333333333337</v>
      </c>
      <c r="D37">
        <v>1.0200000000000001E-2</v>
      </c>
      <c r="E37" t="s">
        <v>185</v>
      </c>
      <c r="F37" s="1" t="str">
        <f t="shared" ref="F37:H37" si="177">F36</f>
        <v>SE 12"</v>
      </c>
      <c r="G37">
        <f t="shared" si="177"/>
        <v>7.3646000000000003</v>
      </c>
      <c r="H37">
        <f t="shared" si="177"/>
        <v>1.6035999999999999</v>
      </c>
      <c r="I37" s="66">
        <f>I36</f>
        <v>9.3260381435728643</v>
      </c>
      <c r="J37">
        <f t="shared" ref="J37:L37" si="178">J36</f>
        <v>0</v>
      </c>
      <c r="K37">
        <f t="shared" si="178"/>
        <v>1.5</v>
      </c>
      <c r="L37" s="67" t="e">
        <f t="shared" si="178"/>
        <v>#N/A</v>
      </c>
      <c r="N37" s="17"/>
      <c r="O37" s="68">
        <v>40.700000000000003</v>
      </c>
      <c r="P37" s="79" cm="1">
        <f t="array" aca="1" ref="P37" ca="1">INDIRECT("P"&amp;ROW(O37)-1)+(O37-INDIRECT("O"&amp;ROW(O37)-1))*10/25.4</f>
        <v>0.10548015748031608</v>
      </c>
      <c r="Q37" s="69">
        <f t="shared" ca="1" si="161"/>
        <v>8.7900131233596742E-3</v>
      </c>
      <c r="R37" s="18"/>
      <c r="S37" s="95">
        <f>offset+2.3</f>
        <v>8.25</v>
      </c>
      <c r="T37" s="65"/>
      <c r="U37" s="70">
        <f t="shared" ca="1" si="17"/>
        <v>-3.377284969348862</v>
      </c>
      <c r="V37" s="70"/>
      <c r="W37" s="70"/>
      <c r="X37" s="67">
        <f>X36</f>
        <v>3</v>
      </c>
      <c r="Y37" s="66">
        <f t="shared" si="162"/>
        <v>3.2323523806378152</v>
      </c>
      <c r="Z37" s="70">
        <v>0</v>
      </c>
      <c r="AA37" s="6">
        <f t="shared" si="163"/>
        <v>3.1676476193621852</v>
      </c>
      <c r="AB37" s="66">
        <f t="shared" ca="1" si="164"/>
        <v>4.8080102693755089</v>
      </c>
      <c r="AC37" s="71">
        <v>0.97641702112888917</v>
      </c>
      <c r="AD37" s="66">
        <f t="shared" ca="1" si="165"/>
        <v>17.173490062369861</v>
      </c>
      <c r="AE37" s="66">
        <f t="shared" ca="1" si="166"/>
        <v>4.8080102693755089</v>
      </c>
      <c r="AF37" s="70">
        <f t="shared" ca="1" si="167"/>
        <v>17.588273955440318</v>
      </c>
      <c r="AG37" s="70">
        <f t="shared" ref="AG37:AH37" ca="1" si="179">AG36</f>
        <v>30.043690241327834</v>
      </c>
      <c r="AH37" s="69">
        <f t="shared" ca="1" si="179"/>
        <v>0.11303080284757576</v>
      </c>
      <c r="AI37">
        <f t="shared" ca="1" si="169"/>
        <v>0.2064727379253154</v>
      </c>
      <c r="AJ37">
        <f t="shared" ca="1" si="170"/>
        <v>2.4776728551037848</v>
      </c>
      <c r="AK37" s="18"/>
      <c r="AL37" s="18"/>
      <c r="AR37" s="11">
        <f ca="1">AR36</f>
        <v>7.9273474486329274</v>
      </c>
      <c r="AS37">
        <f>AS36</f>
        <v>0</v>
      </c>
      <c r="AT37">
        <f ca="1">AM36</f>
        <v>22.58418771718484</v>
      </c>
      <c r="AU37" s="11">
        <f t="shared" ca="1" si="21"/>
        <v>0</v>
      </c>
      <c r="AV37" s="11">
        <f t="shared" ca="1" si="171"/>
        <v>17.593844969613897</v>
      </c>
      <c r="AW37" s="7"/>
      <c r="AX37" s="7"/>
      <c r="AZ37" s="18"/>
      <c r="BI37" s="7">
        <f t="shared" ref="BI37:BI40" ca="1" si="180">IF(ISBLANK(AI37),BI36,AI37)</f>
        <v>0.2064727379253154</v>
      </c>
      <c r="BJ37" s="7">
        <f ca="1">IF('Depth profiles'!Q37=0,NA(),'Depth profiles'!Q37)/BI37</f>
        <v>4.257226988746169E-2</v>
      </c>
      <c r="BK37" s="7">
        <f ca="1">IF(ISBLANK('Depth profiles'!AM37),BK36,'Depth profiles'!AM37)</f>
        <v>22.58418771718484</v>
      </c>
      <c r="BL37" s="7">
        <f ca="1">IF('Depth profiles'!AF37=0,NA(),'Depth profiles'!AF37)/'Depth profiles'!BK37</f>
        <v>0.77878709545338165</v>
      </c>
      <c r="BM37" s="7">
        <f t="shared" ca="1" si="172"/>
        <v>1.311157924467103</v>
      </c>
      <c r="BN37" s="7">
        <f t="shared" ca="1" si="173"/>
        <v>3.3028808499632828E-2</v>
      </c>
      <c r="BO37" s="7">
        <f t="shared" ca="1" si="174"/>
        <v>0</v>
      </c>
      <c r="BP37" s="7"/>
      <c r="BQ37" s="7"/>
      <c r="BR37" s="7"/>
      <c r="BS37" s="95"/>
      <c r="BT37" s="70"/>
      <c r="BU37" s="95"/>
      <c r="BW37" s="66"/>
      <c r="BX37" s="66"/>
      <c r="BY37" s="66"/>
      <c r="BZ37" s="66"/>
      <c r="CA37" s="66"/>
      <c r="CB37" s="68"/>
      <c r="CC37" s="66"/>
      <c r="CD37" s="70"/>
      <c r="CE37" s="70"/>
      <c r="CF37" s="96"/>
      <c r="CG37" s="70"/>
      <c r="CH37" s="70"/>
      <c r="CI37" s="11"/>
      <c r="CJ37" s="70"/>
      <c r="CK37" s="70"/>
      <c r="CR37" t="s">
        <v>183</v>
      </c>
      <c r="CS37" s="68">
        <v>0</v>
      </c>
      <c r="CT37" s="68">
        <v>0</v>
      </c>
      <c r="CZ37" s="46"/>
      <c r="DA37" s="46"/>
    </row>
    <row r="38" spans="1:109">
      <c r="B38" s="63">
        <f t="shared" ref="B38:C38" si="181">B37</f>
        <v>45126</v>
      </c>
      <c r="C38" s="64">
        <f t="shared" si="181"/>
        <v>0.64583333333333337</v>
      </c>
      <c r="D38">
        <v>1.0200000000000001E-2</v>
      </c>
      <c r="E38" t="s">
        <v>185</v>
      </c>
      <c r="F38" s="1" t="str">
        <f t="shared" ref="F38:L38" si="182">F37</f>
        <v>SE 12"</v>
      </c>
      <c r="G38">
        <f t="shared" si="182"/>
        <v>7.3646000000000003</v>
      </c>
      <c r="H38">
        <f t="shared" si="182"/>
        <v>1.6035999999999999</v>
      </c>
      <c r="I38" s="66">
        <f t="shared" si="182"/>
        <v>9.3260381435728643</v>
      </c>
      <c r="J38">
        <f t="shared" si="182"/>
        <v>0</v>
      </c>
      <c r="K38">
        <f t="shared" si="182"/>
        <v>1.5</v>
      </c>
      <c r="L38" s="67" t="e">
        <f t="shared" si="182"/>
        <v>#N/A</v>
      </c>
      <c r="N38" s="17"/>
      <c r="O38" s="68">
        <v>41</v>
      </c>
      <c r="P38" s="69" cm="1">
        <f t="array" aca="1" ref="P38" ca="1">INDIRECT("P"&amp;ROW(O38)-1)+(O38-INDIRECT("O"&amp;ROW(O38)-1))*10/25.4</f>
        <v>0.22359039370078743</v>
      </c>
      <c r="Q38" s="69">
        <f t="shared" ca="1" si="161"/>
        <v>1.8632532808398952E-2</v>
      </c>
      <c r="R38" s="18"/>
      <c r="S38" s="95">
        <f>offset+3.2</f>
        <v>9.15</v>
      </c>
      <c r="T38" s="65"/>
      <c r="U38" s="70">
        <f t="shared" ca="1" si="17"/>
        <v>-3.377284969348862</v>
      </c>
      <c r="V38" s="70"/>
      <c r="W38" s="70"/>
      <c r="X38" s="67">
        <f t="shared" ref="X38:X40" si="183">X37</f>
        <v>3</v>
      </c>
      <c r="Y38" s="66">
        <f t="shared" si="162"/>
        <v>3.2323523806378152</v>
      </c>
      <c r="Z38" s="70">
        <v>0</v>
      </c>
      <c r="AA38" s="6">
        <f t="shared" si="163"/>
        <v>3.1676476193621852</v>
      </c>
      <c r="AB38" s="66">
        <f t="shared" ca="1" si="164"/>
        <v>5.7080102693755093</v>
      </c>
      <c r="AC38" s="71">
        <v>0.97641702112888917</v>
      </c>
      <c r="AD38" s="66">
        <f t="shared" ca="1" si="165"/>
        <v>18.711915289309875</v>
      </c>
      <c r="AE38" s="66">
        <f t="shared" ca="1" si="166"/>
        <v>5.7080102693755093</v>
      </c>
      <c r="AF38" s="70">
        <f t="shared" ca="1" si="167"/>
        <v>19.163856102872934</v>
      </c>
      <c r="AG38" s="70">
        <f t="shared" ref="AG38:AH38" ca="1" si="184">AG37</f>
        <v>30.043690241327834</v>
      </c>
      <c r="AH38" s="69">
        <f t="shared" ca="1" si="184"/>
        <v>0.11303080284757576</v>
      </c>
      <c r="AI38">
        <f t="shared" ca="1" si="169"/>
        <v>0.2064727379253154</v>
      </c>
      <c r="AJ38">
        <f t="shared" ca="1" si="170"/>
        <v>2.4776728551037848</v>
      </c>
      <c r="AK38" s="18"/>
      <c r="AL38" s="18"/>
      <c r="AR38" s="11">
        <f t="shared" ref="AR38:AR40" ca="1" si="185">AR37</f>
        <v>7.9273474486329274</v>
      </c>
      <c r="AS38">
        <f>AS36</f>
        <v>0</v>
      </c>
      <c r="AT38">
        <f ca="1">AT36</f>
        <v>0</v>
      </c>
      <c r="AU38" s="11">
        <f t="shared" ca="1" si="21"/>
        <v>0</v>
      </c>
      <c r="AV38" s="11">
        <f t="shared" ca="1" si="171"/>
        <v>19.15317245985009</v>
      </c>
      <c r="AW38" s="7"/>
      <c r="AX38" s="7"/>
      <c r="AZ38" s="18"/>
      <c r="BI38" s="7">
        <f t="shared" ca="1" si="180"/>
        <v>0.2064727379253154</v>
      </c>
      <c r="BJ38" s="7">
        <f ca="1">IF('Depth profiles'!Q38=0,NA(),'Depth profiles'!Q38)/BI38</f>
        <v>9.0242096828970456E-2</v>
      </c>
      <c r="BK38" s="7">
        <f ca="1">IF(ISBLANK('Depth profiles'!AM38),BK37,'Depth profiles'!AM38)</f>
        <v>22.58418771718484</v>
      </c>
      <c r="BL38" s="7">
        <f ca="1">IF('Depth profiles'!AF38=0,NA(),'Depth profiles'!AF38)/'Depth profiles'!BK38</f>
        <v>0.8485519312386296</v>
      </c>
      <c r="BM38" s="7">
        <f t="shared" ca="1" si="172"/>
        <v>1.311157924467103</v>
      </c>
      <c r="BN38" s="7">
        <f t="shared" ca="1" si="173"/>
        <v>3.3028808499632828E-2</v>
      </c>
      <c r="BO38" s="7">
        <f t="shared" ca="1" si="174"/>
        <v>0</v>
      </c>
      <c r="BP38" s="7"/>
      <c r="BQ38" s="7"/>
      <c r="BR38" s="7"/>
      <c r="BS38" s="95"/>
      <c r="BT38" s="70"/>
      <c r="BU38" s="95"/>
      <c r="BW38" s="66"/>
      <c r="BX38" s="66"/>
      <c r="BY38" s="66"/>
      <c r="BZ38" s="66"/>
      <c r="CA38" s="66"/>
      <c r="CB38" s="68"/>
      <c r="CC38" s="66"/>
      <c r="CD38" s="70"/>
      <c r="CE38" s="70"/>
      <c r="CF38" s="96"/>
      <c r="CG38" s="70"/>
      <c r="CH38" s="70"/>
      <c r="CI38" s="11"/>
      <c r="CJ38" s="70"/>
      <c r="CK38" s="70"/>
      <c r="CR38" t="s">
        <v>183</v>
      </c>
      <c r="CS38" s="68">
        <v>0</v>
      </c>
      <c r="CT38" s="68">
        <v>0</v>
      </c>
      <c r="CZ38" s="46"/>
      <c r="DA38" s="46"/>
    </row>
    <row r="39" spans="1:109">
      <c r="B39" s="63">
        <f t="shared" ref="B39:C39" si="186">B38</f>
        <v>45126</v>
      </c>
      <c r="C39" s="64">
        <f t="shared" si="186"/>
        <v>0.64583333333333337</v>
      </c>
      <c r="D39">
        <v>1.0200000000000001E-2</v>
      </c>
      <c r="E39" t="s">
        <v>185</v>
      </c>
      <c r="F39" s="1" t="str">
        <f t="shared" ref="F39:L39" si="187">F38</f>
        <v>SE 12"</v>
      </c>
      <c r="G39">
        <f t="shared" si="187"/>
        <v>7.3646000000000003</v>
      </c>
      <c r="H39">
        <f t="shared" si="187"/>
        <v>1.6035999999999999</v>
      </c>
      <c r="I39" s="66">
        <f t="shared" si="187"/>
        <v>9.3260381435728643</v>
      </c>
      <c r="J39">
        <f t="shared" si="187"/>
        <v>0</v>
      </c>
      <c r="K39">
        <f t="shared" si="187"/>
        <v>1.5</v>
      </c>
      <c r="L39" s="67" t="e">
        <f t="shared" si="187"/>
        <v>#N/A</v>
      </c>
      <c r="N39" s="17"/>
      <c r="O39" s="68">
        <v>42</v>
      </c>
      <c r="P39" s="69" cm="1">
        <f t="array" aca="1" ref="P39" ca="1">INDIRECT("P"&amp;ROW(O39)-1)+(O39-INDIRECT("O"&amp;ROW(O39)-1))*10/25.4</f>
        <v>0.61729118110236225</v>
      </c>
      <c r="Q39" s="69">
        <f t="shared" ca="1" si="161"/>
        <v>5.1440931758530185E-2</v>
      </c>
      <c r="R39" s="18"/>
      <c r="S39" s="95">
        <f>offset+4.66</f>
        <v>10.61</v>
      </c>
      <c r="T39" s="65"/>
      <c r="U39" s="70">
        <f t="shared" ca="1" si="17"/>
        <v>-3.377284969348862</v>
      </c>
      <c r="V39" s="70"/>
      <c r="W39" s="70"/>
      <c r="X39" s="67">
        <f t="shared" si="183"/>
        <v>3</v>
      </c>
      <c r="Y39" s="66">
        <f t="shared" si="162"/>
        <v>3.2323523806378152</v>
      </c>
      <c r="Z39" s="70">
        <v>0</v>
      </c>
      <c r="AA39" s="6">
        <f t="shared" si="163"/>
        <v>3.1676476193621852</v>
      </c>
      <c r="AB39" s="66">
        <f t="shared" ca="1" si="164"/>
        <v>7.1680102693755083</v>
      </c>
      <c r="AC39" s="71">
        <v>0.97641702112888917</v>
      </c>
      <c r="AD39" s="66">
        <f t="shared" ca="1" si="165"/>
        <v>20.968877339947479</v>
      </c>
      <c r="AE39" s="66">
        <f t="shared" ca="1" si="166"/>
        <v>7.1680102693755083</v>
      </c>
      <c r="AF39" s="70">
        <f t="shared" ca="1" si="167"/>
        <v>21.475329583771707</v>
      </c>
      <c r="AG39" s="70">
        <f t="shared" ref="AG39:AH39" ca="1" si="188">AG38</f>
        <v>30.043690241327834</v>
      </c>
      <c r="AH39" s="69">
        <f t="shared" ca="1" si="188"/>
        <v>0.11303080284757576</v>
      </c>
      <c r="AI39">
        <f t="shared" ca="1" si="169"/>
        <v>0.2064727379253154</v>
      </c>
      <c r="AJ39">
        <f t="shared" ca="1" si="170"/>
        <v>2.4776728551037848</v>
      </c>
      <c r="AK39" s="18"/>
      <c r="AL39" s="18"/>
      <c r="AR39" s="11">
        <f t="shared" ca="1" si="185"/>
        <v>7.9273474486329274</v>
      </c>
      <c r="AS39">
        <v>0</v>
      </c>
      <c r="AT39">
        <f ca="1">AT36</f>
        <v>0</v>
      </c>
      <c r="AU39" s="11">
        <f t="shared" ca="1" si="21"/>
        <v>0</v>
      </c>
      <c r="AV39" s="11">
        <f t="shared" ca="1" si="171"/>
        <v>21.482829302889154</v>
      </c>
      <c r="AW39" s="7"/>
      <c r="AX39" s="7"/>
      <c r="AZ39" s="18"/>
      <c r="BI39" s="7">
        <f t="shared" ca="1" si="180"/>
        <v>0.2064727379253154</v>
      </c>
      <c r="BJ39" s="7">
        <f ca="1">IF('Depth profiles'!Q39=0,NA(),'Depth profiles'!Q39)/BI39</f>
        <v>0.24914151996733447</v>
      </c>
      <c r="BK39" s="7">
        <f ca="1">IF(ISBLANK('Depth profiles'!AM39),BK38,'Depth profiles'!AM39)</f>
        <v>22.58418771718484</v>
      </c>
      <c r="BL39" s="7">
        <f ca="1">IF('Depth profiles'!AF39=0,NA(),'Depth profiles'!AF39)/'Depth profiles'!BK39</f>
        <v>0.95090112837800334</v>
      </c>
      <c r="BM39" s="7">
        <f t="shared" ca="1" si="172"/>
        <v>1.311157924467103</v>
      </c>
      <c r="BN39" s="7">
        <f t="shared" ca="1" si="173"/>
        <v>3.3028808499632828E-2</v>
      </c>
      <c r="BO39" s="7">
        <f t="shared" ca="1" si="174"/>
        <v>0</v>
      </c>
      <c r="BP39" s="7"/>
      <c r="BQ39" s="7"/>
      <c r="BR39" s="7"/>
      <c r="BS39" s="95"/>
      <c r="BT39" s="70"/>
      <c r="BU39" s="95"/>
      <c r="BW39" s="66"/>
      <c r="BX39" s="66"/>
      <c r="BY39" s="66"/>
      <c r="BZ39" s="66"/>
      <c r="CA39" s="66"/>
      <c r="CB39" s="68"/>
      <c r="CC39" s="66"/>
      <c r="CD39" s="70"/>
      <c r="CE39" s="70"/>
      <c r="CF39" s="96"/>
      <c r="CG39" s="70"/>
      <c r="CH39" s="70"/>
      <c r="CI39" s="11"/>
      <c r="CJ39" s="70"/>
      <c r="CK39" s="70"/>
      <c r="CR39" t="s">
        <v>183</v>
      </c>
      <c r="CS39" s="68">
        <v>0</v>
      </c>
      <c r="CT39" s="68">
        <v>0</v>
      </c>
      <c r="CZ39" s="46"/>
      <c r="DA39" s="46"/>
    </row>
    <row r="40" spans="1:109">
      <c r="B40" s="80">
        <f t="shared" ref="B40:C40" si="189">B39</f>
        <v>45126</v>
      </c>
      <c r="C40" s="81">
        <f t="shared" si="189"/>
        <v>0.64583333333333337</v>
      </c>
      <c r="D40" s="4">
        <v>1.0200000000000001E-2</v>
      </c>
      <c r="E40" s="4" t="s">
        <v>185</v>
      </c>
      <c r="F40" s="82" t="str">
        <f t="shared" ref="F40:L40" si="190">F39</f>
        <v>SE 12"</v>
      </c>
      <c r="G40" s="4">
        <f t="shared" si="190"/>
        <v>7.3646000000000003</v>
      </c>
      <c r="H40" s="4">
        <f t="shared" si="190"/>
        <v>1.6035999999999999</v>
      </c>
      <c r="I40" s="83">
        <f t="shared" si="190"/>
        <v>9.3260381435728643</v>
      </c>
      <c r="J40" s="4">
        <f t="shared" si="190"/>
        <v>0</v>
      </c>
      <c r="K40" s="4">
        <f t="shared" si="190"/>
        <v>1.5</v>
      </c>
      <c r="L40" s="84" t="e">
        <f t="shared" si="190"/>
        <v>#N/A</v>
      </c>
      <c r="M40" s="4"/>
      <c r="N40" s="85"/>
      <c r="O40" s="86">
        <v>45.5</v>
      </c>
      <c r="P40" s="87" cm="1">
        <f t="array" aca="1" ref="P40" ca="1">INDIRECT("P"&amp;ROW(O40)-1)+(O40-INDIRECT("O"&amp;ROW(O40)-1))*10/25.4</f>
        <v>1.9952439370078741</v>
      </c>
      <c r="Q40" s="87">
        <f t="shared" ref="Q40" ca="1" si="191">P40/12</f>
        <v>0.1662703280839895</v>
      </c>
      <c r="R40" s="88"/>
      <c r="S40" s="97">
        <f>offset+6.845</f>
        <v>12.795</v>
      </c>
      <c r="T40" s="89"/>
      <c r="U40" s="90">
        <f t="shared" ca="1" si="17"/>
        <v>-3.377284969348862</v>
      </c>
      <c r="V40" s="90"/>
      <c r="W40" s="90"/>
      <c r="X40" s="84">
        <f t="shared" si="183"/>
        <v>3</v>
      </c>
      <c r="Y40" s="83">
        <f t="shared" ref="Y40" si="192">$G$4+R40+SIN(theta)*(X40-K40/COS(RADIANS(CT40))/COS(RADIANS(CS40)))/12</f>
        <v>3.2323523806378152</v>
      </c>
      <c r="Z40" s="90">
        <v>0</v>
      </c>
      <c r="AA40" s="91">
        <f t="shared" ref="AA40" si="193">$G$4-((Z40+K40/COS(RADIANS(CS40))/COS(RADIANS(CT40)))/12)*SIN(theta)</f>
        <v>3.1676476193621852</v>
      </c>
      <c r="AB40" s="83">
        <f t="shared" ref="AB40" ca="1" si="194">S40-D40-(Y40+AI40*COS(theta))</f>
        <v>9.3530102693755097</v>
      </c>
      <c r="AC40" s="92">
        <v>0.97641702112888917</v>
      </c>
      <c r="AD40" s="83">
        <f t="shared" ref="AD40" ca="1" si="195">SQRT(2*32.17*AB40)*AC40*$AD$2</f>
        <v>23.952540072524194</v>
      </c>
      <c r="AE40" s="83">
        <f t="shared" ref="AE40" ca="1" si="196">AB40*$AD$2^2</f>
        <v>9.3530102693755097</v>
      </c>
      <c r="AF40" s="90">
        <f t="shared" ref="AF40" ca="1" si="197">SQRT(2*32.17*AE40)</f>
        <v>24.531055434522589</v>
      </c>
      <c r="AG40" s="90">
        <f t="shared" ref="AG40:AH40" ca="1" si="198">AG39</f>
        <v>30.043690241327834</v>
      </c>
      <c r="AH40" s="87">
        <f t="shared" ca="1" si="198"/>
        <v>0.11303080284757576</v>
      </c>
      <c r="AI40" s="4">
        <f t="shared" ref="AI40" ca="1" si="199">((I40/2)*(1+AH40)/AG40)^(1/(1+AH40))</f>
        <v>0.2064727379253154</v>
      </c>
      <c r="AJ40" s="4">
        <f t="shared" ref="AJ40" ca="1" si="200">AI40*12</f>
        <v>2.4776728551037848</v>
      </c>
      <c r="AK40" s="88"/>
      <c r="AL40" s="88"/>
      <c r="AM40" s="4"/>
      <c r="AN40" s="4"/>
      <c r="AO40" s="4"/>
      <c r="AP40" s="4"/>
      <c r="AQ40" s="4"/>
      <c r="AR40" s="93">
        <f t="shared" ca="1" si="185"/>
        <v>7.9273474486329274</v>
      </c>
      <c r="AS40" s="93">
        <v>0</v>
      </c>
      <c r="AT40" s="93">
        <f ca="1">AT37</f>
        <v>22.58418771718484</v>
      </c>
      <c r="AU40" s="93">
        <f t="shared" ca="1" si="21"/>
        <v>0</v>
      </c>
      <c r="AV40" s="93">
        <f t="shared" ref="AV40" ca="1" si="201">AG40*Q40^AH40</f>
        <v>24.52908463359233</v>
      </c>
      <c r="AW40" s="94"/>
      <c r="AX40" s="94"/>
      <c r="AY40" s="4"/>
      <c r="AZ40" s="88"/>
      <c r="BA40" s="4"/>
      <c r="BB40" s="4"/>
      <c r="BC40" s="4"/>
      <c r="BD40" s="4"/>
      <c r="BE40" s="4"/>
      <c r="BF40" s="4"/>
      <c r="BG40" s="4"/>
      <c r="BH40" s="4"/>
      <c r="BI40" s="94">
        <f t="shared" ca="1" si="180"/>
        <v>0.2064727379253154</v>
      </c>
      <c r="BJ40" s="94">
        <f ca="1">IF('Depth profiles'!Q40=0,NA(),'Depth profiles'!Q40)/BI40</f>
        <v>0.80528950095160856</v>
      </c>
      <c r="BK40" s="94">
        <f ca="1">IF(ISBLANK('Depth profiles'!AM40),BK39,'Depth profiles'!AM40)</f>
        <v>22.58418771718484</v>
      </c>
      <c r="BL40" s="94">
        <f ca="1">IF('Depth profiles'!AF40=0,NA(),'Depth profiles'!AF40)/'Depth profiles'!BK40</f>
        <v>1.0862049032587668</v>
      </c>
      <c r="BM40" s="94">
        <f t="shared" ref="BM40" ca="1" si="202">SQRT(32.17*BI40*SIN(theta))</f>
        <v>1.311157924467103</v>
      </c>
      <c r="BN40" s="94">
        <f t="shared" ref="BN40" ca="1" si="203">25.4*12*11.84*viscosity/BM40</f>
        <v>3.3028808499632828E-2</v>
      </c>
      <c r="BO40" s="94">
        <f t="shared" ref="BO40" ca="1" si="204">(J40/12)*BM40/viscosity</f>
        <v>0</v>
      </c>
      <c r="BP40" s="94"/>
      <c r="BQ40" s="94"/>
      <c r="BR40" s="94"/>
      <c r="BS40" s="97"/>
      <c r="BT40" s="90"/>
      <c r="BU40" s="97"/>
      <c r="BV40" s="4"/>
      <c r="BW40" s="83"/>
      <c r="BX40" s="83"/>
      <c r="BY40" s="83"/>
      <c r="BZ40" s="83"/>
      <c r="CA40" s="83"/>
      <c r="CB40" s="86"/>
      <c r="CC40" s="83"/>
      <c r="CD40" s="90"/>
      <c r="CE40" s="90"/>
      <c r="CF40" s="98"/>
      <c r="CG40" s="90"/>
      <c r="CH40" s="90"/>
      <c r="CI40" s="93"/>
      <c r="CJ40" s="90"/>
      <c r="CK40" s="90"/>
      <c r="CL40" s="4"/>
      <c r="CM40" s="4"/>
      <c r="CN40" s="4"/>
      <c r="CO40" s="4"/>
      <c r="CP40" s="4"/>
      <c r="CQ40" s="4"/>
      <c r="CR40" s="4" t="s">
        <v>183</v>
      </c>
      <c r="CS40" s="86">
        <v>0</v>
      </c>
      <c r="CT40" s="86">
        <v>0</v>
      </c>
      <c r="CZ40" s="46"/>
      <c r="DA40" s="46"/>
    </row>
    <row r="41" spans="1:109">
      <c r="B41" s="101"/>
      <c r="C41" s="102"/>
      <c r="D41" s="102"/>
      <c r="E41" s="102"/>
      <c r="F41" s="103"/>
      <c r="G41" s="13"/>
      <c r="H41" s="13"/>
      <c r="I41" s="104"/>
      <c r="J41" s="13"/>
      <c r="K41" s="13"/>
      <c r="L41" s="105"/>
      <c r="M41" s="13"/>
      <c r="N41" s="13"/>
      <c r="O41" s="106"/>
      <c r="P41" s="107"/>
      <c r="Q41" s="107"/>
      <c r="R41" s="108"/>
      <c r="S41" s="109"/>
      <c r="T41" s="109"/>
      <c r="U41" s="110"/>
      <c r="V41" s="110"/>
      <c r="W41" s="110"/>
      <c r="X41" s="13"/>
      <c r="Y41" s="104"/>
      <c r="Z41" s="110"/>
      <c r="AA41" s="111"/>
      <c r="AB41" s="104"/>
      <c r="AC41" s="104"/>
      <c r="AD41" s="104"/>
      <c r="AE41" s="104"/>
      <c r="AF41" s="110"/>
      <c r="AG41" s="110"/>
      <c r="AH41" s="107"/>
      <c r="AI41" s="13"/>
      <c r="AJ41" s="13"/>
      <c r="AK41" s="13"/>
      <c r="AL41" s="13"/>
      <c r="AM41" s="13"/>
      <c r="AN41" s="13"/>
      <c r="AO41" s="13"/>
      <c r="AP41" s="13"/>
      <c r="AQ41" s="13"/>
      <c r="AR41" s="112"/>
      <c r="AS41" s="112"/>
      <c r="AT41" s="112"/>
      <c r="AU41" s="112"/>
      <c r="AV41" s="112"/>
      <c r="AW41" s="13"/>
      <c r="AX41" s="13"/>
      <c r="AY41" s="13"/>
      <c r="AZ41" s="108"/>
      <c r="BA41" s="13"/>
      <c r="BB41" s="13"/>
      <c r="BC41" s="13"/>
      <c r="BD41" s="13"/>
      <c r="BE41" s="13"/>
      <c r="BF41" s="113"/>
      <c r="BG41" s="13"/>
      <c r="BH41" s="13"/>
      <c r="BI41" s="14"/>
      <c r="BJ41" s="14"/>
      <c r="BK41" s="14"/>
      <c r="BL41" s="14"/>
      <c r="BM41" s="14"/>
      <c r="BN41" s="14"/>
      <c r="BO41" s="14"/>
      <c r="BP41" s="13"/>
      <c r="BQ41" s="13"/>
      <c r="BR41" s="14"/>
      <c r="BS41" s="110"/>
      <c r="BT41" s="110"/>
      <c r="BU41" s="114"/>
      <c r="BV41" s="13"/>
      <c r="BW41" s="104"/>
      <c r="BX41" s="104"/>
      <c r="BY41" s="104"/>
      <c r="BZ41" s="104"/>
      <c r="CA41" s="104"/>
      <c r="CB41" s="104"/>
      <c r="CC41" s="110"/>
      <c r="CD41" s="110"/>
      <c r="CE41" s="110"/>
      <c r="CF41" s="110"/>
      <c r="CG41" s="110"/>
      <c r="CH41" s="110"/>
      <c r="CI41" s="110"/>
      <c r="CJ41" s="110"/>
      <c r="CK41" s="110"/>
      <c r="CL41" s="13"/>
      <c r="CM41" s="13"/>
      <c r="CN41" s="13"/>
      <c r="CO41" s="13"/>
      <c r="CP41" s="13"/>
      <c r="CQ41" s="13"/>
      <c r="CR41" s="13"/>
      <c r="CS41" s="13"/>
      <c r="CT41" s="13"/>
    </row>
    <row r="42" spans="1:109">
      <c r="B42" s="2"/>
      <c r="C42" s="64"/>
      <c r="D42" s="64"/>
      <c r="E42" s="64"/>
      <c r="F42" s="1"/>
    </row>
    <row r="43" spans="1:109">
      <c r="B43" s="2"/>
      <c r="C43" s="64"/>
      <c r="D43" s="64"/>
      <c r="E43" s="64"/>
      <c r="F43" s="1"/>
    </row>
    <row r="44" spans="1:109" ht="15.75" thickBot="1">
      <c r="H44" t="s">
        <v>187</v>
      </c>
      <c r="P44" s="6"/>
    </row>
    <row r="45" spans="1:109" ht="15.75" thickBot="1">
      <c r="H45" s="115">
        <v>10</v>
      </c>
      <c r="I45" s="116"/>
      <c r="J45" s="117"/>
    </row>
    <row r="46" spans="1:109" ht="15.75" thickBot="1">
      <c r="H46" s="118">
        <v>16</v>
      </c>
      <c r="I46" s="119"/>
      <c r="J46" s="120"/>
      <c r="P46" s="6"/>
    </row>
    <row r="47" spans="1:109">
      <c r="H47" s="121" t="s">
        <v>188</v>
      </c>
      <c r="I47" s="42" t="s">
        <v>129</v>
      </c>
      <c r="J47" s="122" t="s">
        <v>131</v>
      </c>
    </row>
    <row r="48" spans="1:109">
      <c r="H48" s="123">
        <f>$H$45</f>
        <v>10</v>
      </c>
      <c r="I48" cm="1">
        <f t="array" aca="1" ref="I48" ca="1">INDIRECT("BJ"&amp;$H48)</f>
        <v>2.791615556366683E-2</v>
      </c>
      <c r="J48" s="124" cm="1">
        <f t="array" aca="1" ref="J48" ca="1">INDIRECT("BL"&amp;$H48)</f>
        <v>0.71112894319244357</v>
      </c>
    </row>
    <row r="49" spans="8:10">
      <c r="H49" s="123">
        <f t="shared" ref="H49:H87" si="205">IF(H48+1&lt;=$H$46,H48+1,NA())</f>
        <v>11</v>
      </c>
      <c r="I49" cm="1">
        <f t="array" aca="1" ref="I49" ca="1">INDIRECT("BJ"&amp;$H49)</f>
        <v>4.7584395410910675E-2</v>
      </c>
      <c r="J49" s="124" cm="1">
        <f t="array" aca="1" ref="J49" ca="1">INDIRECT("BL"&amp;$H49)</f>
        <v>0.76757157312964652</v>
      </c>
    </row>
    <row r="50" spans="8:10">
      <c r="H50" s="123">
        <f t="shared" si="205"/>
        <v>12</v>
      </c>
      <c r="I50" cm="1">
        <f t="array" aca="1" ref="I50" ca="1">INDIRECT("BJ"&amp;$H50)</f>
        <v>0.10658911495264779</v>
      </c>
      <c r="J50" s="124" cm="1">
        <f t="array" aca="1" ref="J50" ca="1">INDIRECT("BL"&amp;$H50)</f>
        <v>0.84760252689997539</v>
      </c>
    </row>
    <row r="51" spans="8:10">
      <c r="H51" s="123">
        <f t="shared" si="205"/>
        <v>13</v>
      </c>
      <c r="I51" cm="1">
        <f t="array" aca="1" ref="I51" ca="1">INDIRECT("BJ"&amp;$H51)</f>
        <v>0.26393503373060695</v>
      </c>
      <c r="J51" s="124" cm="1">
        <f t="array" aca="1" ref="J51" ca="1">INDIRECT("BL"&amp;$H51)</f>
        <v>0.94578748733984508</v>
      </c>
    </row>
    <row r="52" spans="8:10">
      <c r="H52" s="123">
        <f t="shared" si="205"/>
        <v>14</v>
      </c>
      <c r="I52" cm="1">
        <f t="array" aca="1" ref="I52" ca="1">INDIRECT("BJ"&amp;$H52)</f>
        <v>0.65729983067550612</v>
      </c>
      <c r="J52" s="124" cm="1">
        <f t="array" aca="1" ref="J52" ca="1">INDIRECT("BL"&amp;$H52)</f>
        <v>1.0599645558732331</v>
      </c>
    </row>
    <row r="53" spans="8:10">
      <c r="H53" s="123">
        <f t="shared" si="205"/>
        <v>15</v>
      </c>
      <c r="I53" cm="1">
        <f t="array" aca="1" ref="I53" ca="1">INDIRECT("BJ"&amp;$H53)</f>
        <v>0.77530926975897485</v>
      </c>
      <c r="J53" s="124" cm="1">
        <f t="array" aca="1" ref="J53" ca="1">INDIRECT("BL"&amp;$H53)</f>
        <v>1.1037131391899024</v>
      </c>
    </row>
    <row r="54" spans="8:10">
      <c r="H54" s="123">
        <f t="shared" si="205"/>
        <v>16</v>
      </c>
      <c r="I54" cm="1">
        <f t="array" aca="1" ref="I54" ca="1">INDIRECT("BJ"&amp;$H54)</f>
        <v>2.6241797903566514E-2</v>
      </c>
      <c r="J54" s="124" cm="1">
        <f t="array" aca="1" ref="J54" ca="1">INDIRECT("BL"&amp;$H54)</f>
        <v>0.7220566355073833</v>
      </c>
    </row>
    <row r="55" spans="8:10">
      <c r="H55" s="123" t="e">
        <f t="shared" si="205"/>
        <v>#N/A</v>
      </c>
      <c r="I55" t="e" cm="1">
        <f t="array" aca="1" ref="I55" ca="1">INDIRECT("BJ"&amp;$H55)</f>
        <v>#N/A</v>
      </c>
      <c r="J55" s="124" t="e" cm="1">
        <f t="array" aca="1" ref="J55" ca="1">INDIRECT("BL"&amp;$H55)</f>
        <v>#N/A</v>
      </c>
    </row>
    <row r="56" spans="8:10">
      <c r="H56" s="123" t="e">
        <f t="shared" si="205"/>
        <v>#N/A</v>
      </c>
      <c r="I56" t="e" cm="1">
        <f t="array" aca="1" ref="I56" ca="1">INDIRECT("BJ"&amp;$H56)</f>
        <v>#N/A</v>
      </c>
      <c r="J56" s="124" t="e" cm="1">
        <f t="array" aca="1" ref="J56" ca="1">INDIRECT("BL"&amp;$H56)</f>
        <v>#N/A</v>
      </c>
    </row>
    <row r="57" spans="8:10">
      <c r="H57" s="123" t="e">
        <f t="shared" si="205"/>
        <v>#N/A</v>
      </c>
      <c r="I57" t="e" cm="1">
        <f t="array" aca="1" ref="I57" ca="1">INDIRECT("BJ"&amp;$H57)</f>
        <v>#N/A</v>
      </c>
      <c r="J57" s="124" t="e" cm="1">
        <f t="array" aca="1" ref="J57" ca="1">INDIRECT("BL"&amp;$H57)</f>
        <v>#N/A</v>
      </c>
    </row>
    <row r="58" spans="8:10">
      <c r="H58" s="123" t="e">
        <f t="shared" si="205"/>
        <v>#N/A</v>
      </c>
      <c r="I58" t="e" cm="1">
        <f t="array" aca="1" ref="I58" ca="1">INDIRECT("BJ"&amp;$H58)</f>
        <v>#N/A</v>
      </c>
      <c r="J58" s="124" t="e" cm="1">
        <f t="array" aca="1" ref="J58" ca="1">INDIRECT("BL"&amp;$H58)</f>
        <v>#N/A</v>
      </c>
    </row>
    <row r="59" spans="8:10">
      <c r="H59" s="123" t="e">
        <f t="shared" si="205"/>
        <v>#N/A</v>
      </c>
      <c r="I59" t="e" cm="1">
        <f t="array" aca="1" ref="I59" ca="1">INDIRECT("BJ"&amp;$H59)</f>
        <v>#N/A</v>
      </c>
      <c r="J59" s="124" t="e" cm="1">
        <f t="array" aca="1" ref="J59" ca="1">INDIRECT("BL"&amp;$H59)</f>
        <v>#N/A</v>
      </c>
    </row>
    <row r="60" spans="8:10">
      <c r="H60" s="123" t="e">
        <f t="shared" si="205"/>
        <v>#N/A</v>
      </c>
      <c r="I60" t="e" cm="1">
        <f t="array" aca="1" ref="I60" ca="1">INDIRECT("BJ"&amp;$H60)</f>
        <v>#N/A</v>
      </c>
      <c r="J60" s="124" t="e" cm="1">
        <f t="array" aca="1" ref="J60" ca="1">INDIRECT("BL"&amp;$H60)</f>
        <v>#N/A</v>
      </c>
    </row>
    <row r="61" spans="8:10">
      <c r="H61" s="123" t="e">
        <f t="shared" si="205"/>
        <v>#N/A</v>
      </c>
      <c r="I61" t="e" cm="1">
        <f t="array" aca="1" ref="I61" ca="1">INDIRECT("BJ"&amp;$H61)</f>
        <v>#N/A</v>
      </c>
      <c r="J61" s="124" t="e" cm="1">
        <f t="array" aca="1" ref="J61" ca="1">INDIRECT("BL"&amp;$H61)</f>
        <v>#N/A</v>
      </c>
    </row>
    <row r="62" spans="8:10">
      <c r="H62" s="123" t="e">
        <f t="shared" si="205"/>
        <v>#N/A</v>
      </c>
      <c r="I62" t="e" cm="1">
        <f t="array" aca="1" ref="I62" ca="1">INDIRECT("BJ"&amp;$H62)</f>
        <v>#N/A</v>
      </c>
      <c r="J62" s="124" t="e" cm="1">
        <f t="array" aca="1" ref="J62" ca="1">INDIRECT("BL"&amp;$H62)</f>
        <v>#N/A</v>
      </c>
    </row>
    <row r="63" spans="8:10">
      <c r="H63" s="123" t="e">
        <f t="shared" si="205"/>
        <v>#N/A</v>
      </c>
      <c r="I63" t="e" cm="1">
        <f t="array" aca="1" ref="I63" ca="1">INDIRECT("BJ"&amp;$H63)</f>
        <v>#N/A</v>
      </c>
      <c r="J63" s="124" t="e" cm="1">
        <f t="array" aca="1" ref="J63" ca="1">INDIRECT("BL"&amp;$H63)</f>
        <v>#N/A</v>
      </c>
    </row>
    <row r="64" spans="8:10">
      <c r="H64" s="123" t="e">
        <f t="shared" si="205"/>
        <v>#N/A</v>
      </c>
      <c r="I64" t="e" cm="1">
        <f t="array" aca="1" ref="I64" ca="1">INDIRECT("BJ"&amp;$H64)</f>
        <v>#N/A</v>
      </c>
      <c r="J64" s="124" t="e" cm="1">
        <f t="array" aca="1" ref="J64" ca="1">INDIRECT("BL"&amp;$H64)</f>
        <v>#N/A</v>
      </c>
    </row>
    <row r="65" spans="8:10">
      <c r="H65" s="123" t="e">
        <f t="shared" si="205"/>
        <v>#N/A</v>
      </c>
      <c r="I65" t="e" cm="1">
        <f t="array" aca="1" ref="I65" ca="1">INDIRECT("BJ"&amp;$H65)</f>
        <v>#N/A</v>
      </c>
      <c r="J65" s="124" t="e" cm="1">
        <f t="array" aca="1" ref="J65" ca="1">INDIRECT("BL"&amp;$H65)</f>
        <v>#N/A</v>
      </c>
    </row>
    <row r="66" spans="8:10">
      <c r="H66" s="123" t="e">
        <f t="shared" si="205"/>
        <v>#N/A</v>
      </c>
      <c r="I66" t="e" cm="1">
        <f t="array" aca="1" ref="I66" ca="1">INDIRECT("BJ"&amp;$H66)</f>
        <v>#N/A</v>
      </c>
      <c r="J66" s="124" t="e" cm="1">
        <f t="array" aca="1" ref="J66" ca="1">INDIRECT("BL"&amp;$H66)</f>
        <v>#N/A</v>
      </c>
    </row>
    <row r="67" spans="8:10">
      <c r="H67" s="123" t="e">
        <f t="shared" si="205"/>
        <v>#N/A</v>
      </c>
      <c r="I67" t="e" cm="1">
        <f t="array" aca="1" ref="I67" ca="1">INDIRECT("BJ"&amp;$H67)</f>
        <v>#N/A</v>
      </c>
      <c r="J67" s="124" t="e" cm="1">
        <f t="array" aca="1" ref="J67" ca="1">INDIRECT("BL"&amp;$H67)</f>
        <v>#N/A</v>
      </c>
    </row>
    <row r="68" spans="8:10">
      <c r="H68" s="123" t="e">
        <f t="shared" si="205"/>
        <v>#N/A</v>
      </c>
      <c r="I68" t="e" cm="1">
        <f t="array" aca="1" ref="I68" ca="1">INDIRECT("BJ"&amp;$H68)</f>
        <v>#N/A</v>
      </c>
      <c r="J68" s="124" t="e" cm="1">
        <f t="array" aca="1" ref="J68" ca="1">INDIRECT("BL"&amp;$H68)</f>
        <v>#N/A</v>
      </c>
    </row>
    <row r="69" spans="8:10">
      <c r="H69" s="123" t="e">
        <f t="shared" si="205"/>
        <v>#N/A</v>
      </c>
      <c r="I69" t="e" cm="1">
        <f t="array" aca="1" ref="I69" ca="1">INDIRECT("BJ"&amp;$H69)</f>
        <v>#N/A</v>
      </c>
      <c r="J69" s="124" t="e" cm="1">
        <f t="array" aca="1" ref="J69" ca="1">INDIRECT("BL"&amp;$H69)</f>
        <v>#N/A</v>
      </c>
    </row>
    <row r="70" spans="8:10">
      <c r="H70" s="123" t="e">
        <f t="shared" si="205"/>
        <v>#N/A</v>
      </c>
      <c r="I70" t="e" cm="1">
        <f t="array" aca="1" ref="I70" ca="1">INDIRECT("BJ"&amp;$H70)</f>
        <v>#N/A</v>
      </c>
      <c r="J70" s="124" t="e" cm="1">
        <f t="array" aca="1" ref="J70" ca="1">INDIRECT("BL"&amp;$H70)</f>
        <v>#N/A</v>
      </c>
    </row>
    <row r="71" spans="8:10">
      <c r="H71" s="123" t="e">
        <f t="shared" si="205"/>
        <v>#N/A</v>
      </c>
      <c r="I71" t="e" cm="1">
        <f t="array" aca="1" ref="I71" ca="1">INDIRECT("BJ"&amp;$H71)</f>
        <v>#N/A</v>
      </c>
      <c r="J71" s="124" t="e" cm="1">
        <f t="array" aca="1" ref="J71" ca="1">INDIRECT("BL"&amp;$H71)</f>
        <v>#N/A</v>
      </c>
    </row>
    <row r="72" spans="8:10">
      <c r="H72" s="123" t="e">
        <f t="shared" si="205"/>
        <v>#N/A</v>
      </c>
      <c r="I72" t="e" cm="1">
        <f t="array" aca="1" ref="I72" ca="1">INDIRECT("BJ"&amp;$H72)</f>
        <v>#N/A</v>
      </c>
      <c r="J72" s="124" t="e" cm="1">
        <f t="array" aca="1" ref="J72" ca="1">INDIRECT("BL"&amp;$H72)</f>
        <v>#N/A</v>
      </c>
    </row>
    <row r="73" spans="8:10">
      <c r="H73" s="123" t="e">
        <f t="shared" si="205"/>
        <v>#N/A</v>
      </c>
      <c r="I73" t="e" cm="1">
        <f t="array" aca="1" ref="I73" ca="1">INDIRECT("BJ"&amp;$H73)</f>
        <v>#N/A</v>
      </c>
      <c r="J73" s="124" t="e" cm="1">
        <f t="array" aca="1" ref="J73" ca="1">INDIRECT("BL"&amp;$H73)</f>
        <v>#N/A</v>
      </c>
    </row>
    <row r="74" spans="8:10">
      <c r="H74" s="123" t="e">
        <f t="shared" si="205"/>
        <v>#N/A</v>
      </c>
      <c r="I74" t="e" cm="1">
        <f t="array" aca="1" ref="I74" ca="1">INDIRECT("BJ"&amp;$H74)</f>
        <v>#N/A</v>
      </c>
      <c r="J74" s="124" t="e" cm="1">
        <f t="array" aca="1" ref="J74" ca="1">INDIRECT("BL"&amp;$H74)</f>
        <v>#N/A</v>
      </c>
    </row>
    <row r="75" spans="8:10">
      <c r="H75" s="123" t="e">
        <f t="shared" si="205"/>
        <v>#N/A</v>
      </c>
      <c r="I75" t="e" cm="1">
        <f t="array" aca="1" ref="I75" ca="1">INDIRECT("BJ"&amp;$H75)</f>
        <v>#N/A</v>
      </c>
      <c r="J75" s="124" t="e" cm="1">
        <f t="array" aca="1" ref="J75" ca="1">INDIRECT("BL"&amp;$H75)</f>
        <v>#N/A</v>
      </c>
    </row>
    <row r="76" spans="8:10">
      <c r="H76" s="123" t="e">
        <f t="shared" si="205"/>
        <v>#N/A</v>
      </c>
      <c r="I76" t="e" cm="1">
        <f t="array" aca="1" ref="I76" ca="1">INDIRECT("BJ"&amp;$H76)</f>
        <v>#N/A</v>
      </c>
      <c r="J76" s="124" t="e" cm="1">
        <f t="array" aca="1" ref="J76" ca="1">INDIRECT("BL"&amp;$H76)</f>
        <v>#N/A</v>
      </c>
    </row>
    <row r="77" spans="8:10">
      <c r="H77" s="123" t="e">
        <f t="shared" si="205"/>
        <v>#N/A</v>
      </c>
      <c r="I77" t="e" cm="1">
        <f t="array" aca="1" ref="I77" ca="1">INDIRECT("BJ"&amp;$H77)</f>
        <v>#N/A</v>
      </c>
      <c r="J77" s="124" t="e" cm="1">
        <f t="array" aca="1" ref="J77" ca="1">INDIRECT("BL"&amp;$H77)</f>
        <v>#N/A</v>
      </c>
    </row>
    <row r="78" spans="8:10">
      <c r="H78" s="123" t="e">
        <f t="shared" si="205"/>
        <v>#N/A</v>
      </c>
      <c r="I78" t="e" cm="1">
        <f t="array" aca="1" ref="I78" ca="1">INDIRECT("BJ"&amp;$H78)</f>
        <v>#N/A</v>
      </c>
      <c r="J78" s="124" t="e" cm="1">
        <f t="array" aca="1" ref="J78" ca="1">INDIRECT("BL"&amp;$H78)</f>
        <v>#N/A</v>
      </c>
    </row>
    <row r="79" spans="8:10">
      <c r="H79" s="123" t="e">
        <f t="shared" si="205"/>
        <v>#N/A</v>
      </c>
      <c r="I79" t="e" cm="1">
        <f t="array" aca="1" ref="I79" ca="1">INDIRECT("BJ"&amp;$H79)</f>
        <v>#N/A</v>
      </c>
      <c r="J79" s="124" t="e" cm="1">
        <f t="array" aca="1" ref="J79" ca="1">INDIRECT("BL"&amp;$H79)</f>
        <v>#N/A</v>
      </c>
    </row>
    <row r="80" spans="8:10">
      <c r="H80" s="123" t="e">
        <f t="shared" si="205"/>
        <v>#N/A</v>
      </c>
      <c r="I80" t="e" cm="1">
        <f t="array" aca="1" ref="I80" ca="1">INDIRECT("BJ"&amp;$H80)</f>
        <v>#N/A</v>
      </c>
      <c r="J80" s="124" t="e" cm="1">
        <f t="array" aca="1" ref="J80" ca="1">INDIRECT("BL"&amp;$H80)</f>
        <v>#N/A</v>
      </c>
    </row>
    <row r="81" spans="8:10">
      <c r="H81" s="123" t="e">
        <f t="shared" si="205"/>
        <v>#N/A</v>
      </c>
      <c r="I81" t="e" cm="1">
        <f t="array" aca="1" ref="I81" ca="1">INDIRECT("BJ"&amp;$H81)</f>
        <v>#N/A</v>
      </c>
      <c r="J81" s="124" t="e" cm="1">
        <f t="array" aca="1" ref="J81" ca="1">INDIRECT("BL"&amp;$H81)</f>
        <v>#N/A</v>
      </c>
    </row>
    <row r="82" spans="8:10">
      <c r="H82" s="123" t="e">
        <f t="shared" si="205"/>
        <v>#N/A</v>
      </c>
      <c r="I82" t="e" cm="1">
        <f t="array" aca="1" ref="I82" ca="1">INDIRECT("BJ"&amp;$H82)</f>
        <v>#N/A</v>
      </c>
      <c r="J82" s="124" t="e" cm="1">
        <f t="array" aca="1" ref="J82" ca="1">INDIRECT("BL"&amp;$H82)</f>
        <v>#N/A</v>
      </c>
    </row>
    <row r="83" spans="8:10">
      <c r="H83" s="123" t="e">
        <f t="shared" si="205"/>
        <v>#N/A</v>
      </c>
      <c r="I83" t="e" cm="1">
        <f t="array" aca="1" ref="I83" ca="1">INDIRECT("BJ"&amp;$H83)</f>
        <v>#N/A</v>
      </c>
      <c r="J83" s="124" t="e" cm="1">
        <f t="array" aca="1" ref="J83" ca="1">INDIRECT("BL"&amp;$H83)</f>
        <v>#N/A</v>
      </c>
    </row>
    <row r="84" spans="8:10">
      <c r="H84" s="123" t="e">
        <f t="shared" si="205"/>
        <v>#N/A</v>
      </c>
      <c r="I84" t="e" cm="1">
        <f t="array" aca="1" ref="I84" ca="1">INDIRECT("BJ"&amp;$H84)</f>
        <v>#N/A</v>
      </c>
      <c r="J84" s="124" t="e" cm="1">
        <f t="array" aca="1" ref="J84" ca="1">INDIRECT("BL"&amp;$H84)</f>
        <v>#N/A</v>
      </c>
    </row>
    <row r="85" spans="8:10">
      <c r="H85" s="123" t="e">
        <f t="shared" si="205"/>
        <v>#N/A</v>
      </c>
      <c r="I85" t="e" cm="1">
        <f t="array" aca="1" ref="I85" ca="1">INDIRECT("BJ"&amp;$H85)</f>
        <v>#N/A</v>
      </c>
      <c r="J85" s="124" t="e" cm="1">
        <f t="array" aca="1" ref="J85" ca="1">INDIRECT("BL"&amp;$H85)</f>
        <v>#N/A</v>
      </c>
    </row>
    <row r="86" spans="8:10">
      <c r="H86" s="123" t="e">
        <f t="shared" si="205"/>
        <v>#N/A</v>
      </c>
      <c r="I86" t="e" cm="1">
        <f t="array" aca="1" ref="I86" ca="1">INDIRECT("BJ"&amp;$H86)</f>
        <v>#N/A</v>
      </c>
      <c r="J86" s="124" t="e" cm="1">
        <f t="array" aca="1" ref="J86" ca="1">INDIRECT("BL"&amp;$H86)</f>
        <v>#N/A</v>
      </c>
    </row>
    <row r="87" spans="8:10" ht="15.75" thickBot="1">
      <c r="H87" s="125" t="e">
        <f t="shared" si="205"/>
        <v>#N/A</v>
      </c>
      <c r="I87" s="126" t="e" cm="1">
        <f t="array" aca="1" ref="I87" ca="1">INDIRECT("BJ"&amp;$H87)</f>
        <v>#N/A</v>
      </c>
      <c r="J87" s="127" t="e" cm="1">
        <f t="array" aca="1" ref="J87" ca="1">INDIRECT("BL"&amp;$H87)</f>
        <v>#N/A</v>
      </c>
    </row>
  </sheetData>
  <autoFilter ref="A8:CU42" xr:uid="{00000000-0009-0000-0000-000001000000}"/>
  <mergeCells count="1">
    <mergeCell ref="P7:Q7"/>
  </mergeCells>
  <conditionalFormatting sqref="Y3:Y7">
    <cfRule type="top10" dxfId="0" priority="1" percent="1" rank="10"/>
    <cfRule type="top10" priority="2" rank="10"/>
  </conditionalFormatting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NOTES</vt:lpstr>
      <vt:lpstr>Gap Profiles DATA</vt:lpstr>
      <vt:lpstr>delCharts</vt:lpstr>
      <vt:lpstr>Depth profiles</vt:lpstr>
      <vt:lpstr>floor2</vt:lpstr>
      <vt:lpstr>'Gap Profiles DATA'!joint</vt:lpstr>
      <vt:lpstr>'Depth profiles'!offset</vt:lpstr>
      <vt:lpstr>offset</vt:lpstr>
      <vt:lpstr>'Depth profiles'!theta</vt:lpstr>
      <vt:lpstr>theta</vt:lpstr>
      <vt:lpstr>viscosity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Wahl, Tony L</cp:lastModifiedBy>
  <cp:lastPrinted>2023-07-20T18:11:33Z</cp:lastPrinted>
  <dcterms:created xsi:type="dcterms:W3CDTF">2021-08-10T19:12:35Z</dcterms:created>
  <dcterms:modified xsi:type="dcterms:W3CDTF">2024-09-27T18:38:02Z</dcterms:modified>
</cp:coreProperties>
</file>